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codeName="ThisWorkbook" defaultThemeVersion="166925"/>
  <mc:AlternateContent xmlns:mc="http://schemas.openxmlformats.org/markup-compatibility/2006">
    <mc:Choice Requires="x15">
      <x15ac:absPath xmlns:x15ac="http://schemas.microsoft.com/office/spreadsheetml/2010/11/ac" url="/Users/angelica.bomford/Downloads/"/>
    </mc:Choice>
  </mc:AlternateContent>
  <xr:revisionPtr revIDLastSave="0" documentId="13_ncr:1_{51A6DA7F-92ED-8443-B18D-8AC7AA8BA7BB}" xr6:coauthVersionLast="47" xr6:coauthVersionMax="47" xr10:uidLastSave="{00000000-0000-0000-0000-000000000000}"/>
  <workbookProtection workbookAlgorithmName="SHA-512" workbookHashValue="nzGMrZkBHH2QHFOh+xtQIYy5BT3G9XyPLLwodqpEkPD2FPiFsqwUXu9stG8QFIjXpOMlxDLQlBmrVW3YEisoKg==" workbookSaltValue="io3x2CNCWTUMkINn2rl4tA==" workbookSpinCount="100000" lockStructure="1"/>
  <bookViews>
    <workbookView xWindow="780" yWindow="500" windowWidth="26840" windowHeight="15320" xr2:uid="{00000000-000D-0000-FFFF-FFFF00000000}"/>
  </bookViews>
  <sheets>
    <sheet name="Cover sheet" sheetId="22" r:id="rId1"/>
    <sheet name="Summary" sheetId="19" r:id="rId2"/>
    <sheet name="Packages" sheetId="21" r:id="rId3"/>
    <sheet name="Reducing radiator temp" sheetId="1" r:id="rId4"/>
    <sheet name="Reduce heating hours" sheetId="8" r:id="rId5"/>
    <sheet name="Turn off pre-heat" sheetId="14" r:id="rId6"/>
    <sheet name="Reducing DHW temp. (cylinder)" sheetId="13" r:id="rId7"/>
    <sheet name="Reducing DHW temp. (combi)" sheetId="20" r:id="rId8"/>
    <sheet name="Moving furniture" sheetId="9" r:id="rId9"/>
    <sheet name="Closing curtains" sheetId="5" r:id="rId10"/>
    <sheet name="Window treatments" sheetId="10" r:id="rId11"/>
    <sheet name="Loft insulation" sheetId="15" r:id="rId12"/>
    <sheet name="Radiator foil" sheetId="16" r:id="rId13"/>
    <sheet name="Smart thermostats &amp; compens'n" sheetId="17" r:id="rId14"/>
    <sheet name="TRVs" sheetId="18" r:id="rId15"/>
    <sheet name="Assumptions" sheetId="3" r:id="rId16"/>
    <sheet name="Tariffs" sheetId="12" r:id="rId17"/>
    <sheet name="References" sheetId="2" r:id="rId18"/>
    <sheet name="Modelling Notes" sheetId="11" r:id="rId19"/>
    <sheet name="Change Log" sheetId="7" r:id="rId20"/>
  </sheets>
  <externalReferences>
    <externalReference r:id="rId21"/>
    <externalReference r:id="rId22"/>
    <externalReference r:id="rId23"/>
  </externalReferences>
  <definedNames>
    <definedName name="Air_specific_heat_by_volume">'[1]Refrig. Assumptions+Calcs'!$B$111</definedName>
    <definedName name="Bath_temperature_high">'[1]Hot Water Assumptions+Calcs'!$C$11</definedName>
    <definedName name="Bath_temperature_low">'[1]Hot Water Assumptions+Calcs'!$B$11</definedName>
    <definedName name="Bath_temperature_med">'[1]Hot Water Assumptions+Calcs'!$D$11</definedName>
    <definedName name="Bath_volume_high">'[1]Hot Water Assumptions+Calcs'!$C$18</definedName>
    <definedName name="Bath_volume_low">'[1]Hot Water Assumptions+Calcs'!$B$18</definedName>
    <definedName name="Bath_volume_med">'[1]Hot Water Assumptions+Calcs'!$D$18</definedName>
    <definedName name="carbonElectricitryPerkWh">Assumptions!$B$7</definedName>
    <definedName name="carbonElectricityPerkWh">Assumptions!$B$7</definedName>
    <definedName name="carbonGasPerkWh">Assumptions!$B$5</definedName>
    <definedName name="carbonGasTperGWh">Assumptions!$B$6</definedName>
    <definedName name="carbonGasTperMWh">Assumptions!$B$6</definedName>
    <definedName name="carbonOilPerkWh">Assumptions!$B$8</definedName>
    <definedName name="Cold_water_temp_high">'[1]Hot Water Assumptions+Calcs'!$C$7</definedName>
    <definedName name="Cold_water_temp_low">'[1]Hot Water Assumptions+Calcs'!$B$7</definedName>
    <definedName name="Cold_water_temp_med">'[1]Hot Water Assumptions+Calcs'!$D$7</definedName>
    <definedName name="Dishwasher_energy_high">'[1]Washing Assumptions+Calcs'!$C$7</definedName>
    <definedName name="Dishwasher_energy_low">'[1]Washing Assumptions+Calcs'!$B$7</definedName>
    <definedName name="Dishwasher_energy_med">'[1]Washing Assumptions+Calcs'!$D$7</definedName>
    <definedName name="Dishwasher_freq_high">'[1]Washing Assumptions+Calcs'!$C$5</definedName>
    <definedName name="dishwasher_freq_low">'[1]Washing Assumptions+Calcs'!$B$5</definedName>
    <definedName name="Dishwasher_freq_med">'[1]Washing Assumptions+Calcs'!$D$5</definedName>
    <definedName name="Drip_rate_high">'[1]Hot Water Assumptions+Calcs'!$C$26</definedName>
    <definedName name="Drip_rate_low">'[1]Hot Water Assumptions+Calcs'!$B$26</definedName>
    <definedName name="Drip_rate_med">'[1]Hot Water Assumptions+Calcs'!$D$26</definedName>
    <definedName name="electricityPriceDualRateP">Assumptions!$B$13</definedName>
    <definedName name="electricityPriceP">Assumptions!$B$12</definedName>
    <definedName name="gasBillPropSpace">Assumptions!$B$32</definedName>
    <definedName name="gasPriceP">Assumptions!$B$11</definedName>
    <definedName name="Hot_water_temp_high">'[1]Hot Water Assumptions+Calcs'!$C$8</definedName>
    <definedName name="Hot_water_temp_low">'[1]Hot Water Assumptions+Calcs'!$B$8</definedName>
    <definedName name="Hot_water_temp_med">'[1]Hot Water Assumptions+Calcs'!$D$8</definedName>
    <definedName name="Ice_specific_heat">'[1]Refrig. Assumptions+Calcs'!$B$108</definedName>
    <definedName name="kwhPerKtoe">Assumptions!$B$4</definedName>
    <definedName name="kwhPerToe">Assumptions!$B$3</definedName>
    <definedName name="MeanDomesticElectricHeatingBill">Assumptions!$B$56</definedName>
    <definedName name="MeanDomesticGasBill">Assumptions!$B$31</definedName>
    <definedName name="MeanDomesticOilBill">Assumptions!$B$42</definedName>
    <definedName name="numberDwellingsEngland">[2]Assumptions!$B$11</definedName>
    <definedName name="numberDwellingsUK">Assumptions!$B$19</definedName>
    <definedName name="numberHomesGasHeating">Assumptions!$B$29</definedName>
    <definedName name="numberHomesOilHeating">Assumptions!$B$40</definedName>
    <definedName name="numberHomesOtherElectricHeaters">Assumptions!$B$53</definedName>
    <definedName name="numberHomesStorageHeater">Assumptions!$B$52</definedName>
    <definedName name="numGasHeatingEngland">Assumptions!$C$64</definedName>
    <definedName name="numOilHeatingEngland">Assumptions!$C$65</definedName>
    <definedName name="numOtherElectricHeatersEngland">Assumptions!$C$67</definedName>
    <definedName name="numStorageHeatersEngland">Assumptions!$C$66</definedName>
    <definedName name="oilBillPropSpace">[3]Assumptions!$B$43</definedName>
    <definedName name="oilPriceP">Assumptions!$B$15</definedName>
    <definedName name="propGasHeatingEngland">Assumptions!$B$64</definedName>
    <definedName name="propGasRegular">Assumptions!$B$33</definedName>
    <definedName name="propHomesGasHeating">Assumptions!$B$30</definedName>
    <definedName name="propHomesOilHeating">Assumptions!$B$41</definedName>
    <definedName name="propHomesOtherElectricHeaters">Assumptions!$B$55</definedName>
    <definedName name="propHomesStorageHeaters">Assumptions!$B$54</definedName>
    <definedName name="propOilHeatingEngland">Assumptions!$B$65</definedName>
    <definedName name="propOilRegular">Assumptions!$B$44</definedName>
    <definedName name="propOtherElectricHeatersEngland">Assumptions!$B$67</definedName>
    <definedName name="propStorageHeatersEngland">Assumptions!$B$66</definedName>
    <definedName name="Shower_duration_high">'[1]Hot Water Assumptions+Calcs'!$C$17</definedName>
    <definedName name="Shower_duration_low">'[1]Hot Water Assumptions+Calcs'!$B$17</definedName>
    <definedName name="Shower_duration_med">'[1]Hot Water Assumptions+Calcs'!$D$17</definedName>
    <definedName name="Shower_flow_high">'[1]Hot Water Assumptions+Calcs'!$C$13</definedName>
    <definedName name="Shower_flow_low">'[1]Hot Water Assumptions+Calcs'!$B$13</definedName>
    <definedName name="Shower_flow_med">'[1]Hot Water Assumptions+Calcs'!$D$13</definedName>
    <definedName name="Shower_temperature_high">'[1]Hot Water Assumptions+Calcs'!$C$10</definedName>
    <definedName name="Shower_temperature_low">'[1]Hot Water Assumptions+Calcs'!$B$10</definedName>
    <definedName name="Shower_temperature_med">'[1]Hot Water Assumptions+Calcs'!$D$10</definedName>
    <definedName name="TotalDomesticElecHeatingkwh">Assumptions!$B$49</definedName>
    <definedName name="TotalDomesticGasKwh">Assumptions!$B$26</definedName>
    <definedName name="TotalDomesticOilkWh">Assumptions!$B$37</definedName>
    <definedName name="TotalGasBoilers">Assumptions!$C$96</definedName>
    <definedName name="TotalOilBoilers">Assumptions!$C$97</definedName>
    <definedName name="TotalOtherElectricHeaters">Assumptions!$A$99</definedName>
    <definedName name="TotalOtherElectrickWh">Assumptions!$B$58</definedName>
    <definedName name="TotalStorageHeaters">Assumptions!$A$98</definedName>
    <definedName name="TotalStorageHeaterskWh">Assumptions!$B$57</definedName>
    <definedName name="Water_heating_efficiency_high">'[1]Hot Water Assumptions+Calcs'!$C$5</definedName>
    <definedName name="Water_heating_efficiency_low">'[1]Hot Water Assumptions+Calcs'!$B$5</definedName>
    <definedName name="Water_heating_efficiency_med">'[1]Hot Water Assumptions+Calcs'!$D$5</definedName>
    <definedName name="Water_latent_heat_ice">'[1]Refrig. Assumptions+Calcs'!$B$109</definedName>
    <definedName name="Water_latent_heat_steam">'[1]Refrig. Assumptions+Calcs'!$B$110</definedName>
    <definedName name="Water_sat_air">'[1]Refrig. Assumptions+Calcs'!$B$112</definedName>
    <definedName name="Water_specific_heat">'[1]Refrig. Assumptions+Calcs'!$B$106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19" l="1"/>
  <c r="AH9" i="19"/>
  <c r="AH8" i="19"/>
  <c r="T8" i="19"/>
  <c r="S8" i="19"/>
  <c r="R8" i="19"/>
  <c r="Q8" i="19"/>
  <c r="P8" i="19"/>
  <c r="O8" i="19"/>
  <c r="T9" i="19"/>
  <c r="S9" i="19"/>
  <c r="R9" i="19"/>
  <c r="Q9" i="19"/>
  <c r="P9" i="19"/>
  <c r="O9" i="19"/>
  <c r="J9" i="19"/>
  <c r="I9" i="19"/>
  <c r="H9" i="19"/>
  <c r="J8" i="19"/>
  <c r="I8" i="19"/>
  <c r="H8" i="19"/>
  <c r="G9" i="19"/>
  <c r="F9" i="19"/>
  <c r="E9" i="19"/>
  <c r="G8" i="19"/>
  <c r="F8" i="19"/>
  <c r="E8" i="19"/>
  <c r="A9" i="19"/>
  <c r="A7" i="19"/>
  <c r="A6" i="19"/>
  <c r="G51" i="1"/>
  <c r="F51" i="1"/>
  <c r="G50" i="1"/>
  <c r="F50" i="1"/>
  <c r="G49" i="1"/>
  <c r="F49" i="1"/>
  <c r="H49" i="1" s="1"/>
  <c r="G48" i="1"/>
  <c r="F48" i="1"/>
  <c r="H48" i="1" s="1"/>
  <c r="G47" i="1"/>
  <c r="F47" i="1"/>
  <c r="G45" i="1"/>
  <c r="F45" i="1"/>
  <c r="H45" i="1" s="1"/>
  <c r="G44" i="1"/>
  <c r="F44" i="1"/>
  <c r="G43" i="1"/>
  <c r="F43" i="1"/>
  <c r="H43" i="1" s="1"/>
  <c r="G42" i="1"/>
  <c r="F42" i="1"/>
  <c r="G41" i="1"/>
  <c r="F41" i="1"/>
  <c r="H41" i="1" s="1"/>
  <c r="C36" i="1"/>
  <c r="C35" i="1"/>
  <c r="C33" i="1"/>
  <c r="E34" i="1"/>
  <c r="B34" i="1"/>
  <c r="E32" i="1"/>
  <c r="B32" i="1"/>
  <c r="C32" i="1" s="1"/>
  <c r="H44" i="1" l="1"/>
  <c r="H50" i="1"/>
  <c r="H42" i="1"/>
  <c r="H47" i="1"/>
  <c r="H51" i="1"/>
  <c r="H46" i="1"/>
  <c r="H52" i="1"/>
  <c r="D33" i="1"/>
  <c r="D34" i="1"/>
  <c r="D36" i="1"/>
  <c r="C59" i="1" s="1"/>
  <c r="D59" i="1" s="1"/>
  <c r="D35" i="1"/>
  <c r="C58" i="1" s="1"/>
  <c r="D58" i="1" s="1"/>
  <c r="C34" i="1"/>
  <c r="D93" i="1"/>
  <c r="C93" i="1"/>
  <c r="D92" i="1"/>
  <c r="C92" i="1"/>
  <c r="B13" i="3"/>
  <c r="B12" i="3"/>
  <c r="B11" i="3"/>
  <c r="C6" i="12"/>
  <c r="K24" i="19"/>
  <c r="K23" i="19"/>
  <c r="K22" i="19"/>
  <c r="K21" i="19"/>
  <c r="K20" i="19"/>
  <c r="B93" i="1"/>
  <c r="B92" i="1"/>
  <c r="A14" i="19" l="1"/>
  <c r="A33" i="19"/>
  <c r="A32" i="19"/>
  <c r="F17" i="1"/>
  <c r="Q17" i="1" s="1"/>
  <c r="B91" i="3"/>
  <c r="B92" i="3" s="1"/>
  <c r="C92" i="3" s="1"/>
  <c r="B68" i="3"/>
  <c r="B76" i="3"/>
  <c r="B84" i="3"/>
  <c r="C89" i="3"/>
  <c r="C88" i="3"/>
  <c r="E23" i="1"/>
  <c r="AH12" i="19"/>
  <c r="AH11" i="19"/>
  <c r="AH10" i="19"/>
  <c r="AO12" i="19"/>
  <c r="C39" i="13"/>
  <c r="C38" i="13"/>
  <c r="J31" i="19"/>
  <c r="I31" i="19"/>
  <c r="H31" i="19"/>
  <c r="G31" i="19"/>
  <c r="F31" i="19"/>
  <c r="E31" i="19"/>
  <c r="J30" i="19"/>
  <c r="I30" i="19"/>
  <c r="H30" i="19"/>
  <c r="G30" i="19"/>
  <c r="F30" i="19"/>
  <c r="E30" i="19"/>
  <c r="J29" i="19"/>
  <c r="I29" i="19"/>
  <c r="H29" i="19"/>
  <c r="G29" i="19"/>
  <c r="F29" i="19"/>
  <c r="E29" i="19"/>
  <c r="D24" i="20"/>
  <c r="C24" i="20"/>
  <c r="B24" i="20"/>
  <c r="D23" i="20"/>
  <c r="C23" i="20"/>
  <c r="B23" i="20"/>
  <c r="AH13" i="19"/>
  <c r="A5" i="19"/>
  <c r="Q16" i="1"/>
  <c r="Q15" i="1"/>
  <c r="Q18" i="1"/>
  <c r="AH28" i="19"/>
  <c r="AH27" i="19"/>
  <c r="AH26" i="19"/>
  <c r="J91" i="16"/>
  <c r="J28" i="19" s="1"/>
  <c r="I91" i="16"/>
  <c r="I28" i="19" s="1"/>
  <c r="H91" i="16"/>
  <c r="H28" i="19" s="1"/>
  <c r="A91" i="16"/>
  <c r="J90" i="16"/>
  <c r="J27" i="19" s="1"/>
  <c r="I90" i="16"/>
  <c r="I27" i="19" s="1"/>
  <c r="H90" i="16"/>
  <c r="H27" i="19" s="1"/>
  <c r="A90" i="16"/>
  <c r="J89" i="16"/>
  <c r="J26" i="19" s="1"/>
  <c r="I89" i="16"/>
  <c r="I26" i="19" s="1"/>
  <c r="H89" i="16"/>
  <c r="H26" i="19" s="1"/>
  <c r="A89" i="16"/>
  <c r="AH31" i="19"/>
  <c r="AH30" i="19"/>
  <c r="AH29" i="19"/>
  <c r="T31" i="19"/>
  <c r="S31" i="19"/>
  <c r="R31" i="19"/>
  <c r="Q31" i="19"/>
  <c r="P31" i="19"/>
  <c r="O31" i="19"/>
  <c r="T30" i="19"/>
  <c r="S30" i="19"/>
  <c r="R30" i="19"/>
  <c r="Q30" i="19"/>
  <c r="P30" i="19"/>
  <c r="O30" i="19"/>
  <c r="T29" i="19"/>
  <c r="S29" i="19"/>
  <c r="R29" i="19"/>
  <c r="Q29" i="19"/>
  <c r="P29" i="19"/>
  <c r="O29" i="19"/>
  <c r="AH24" i="19"/>
  <c r="AH23" i="19"/>
  <c r="AH22" i="19"/>
  <c r="AH21" i="19"/>
  <c r="AH20" i="19"/>
  <c r="L31" i="15"/>
  <c r="J56" i="15" s="1"/>
  <c r="K31" i="15"/>
  <c r="I56" i="15" s="1"/>
  <c r="L30" i="15"/>
  <c r="J55" i="15" s="1"/>
  <c r="K30" i="15"/>
  <c r="I55" i="15" s="1"/>
  <c r="L29" i="15"/>
  <c r="J54" i="15" s="1"/>
  <c r="K29" i="15"/>
  <c r="I54" i="15" s="1"/>
  <c r="L28" i="15"/>
  <c r="J53" i="15" s="1"/>
  <c r="K28" i="15"/>
  <c r="I53" i="15" s="1"/>
  <c r="L27" i="15"/>
  <c r="J52" i="15" s="1"/>
  <c r="K27" i="15"/>
  <c r="I52" i="15" s="1"/>
  <c r="L26" i="15"/>
  <c r="J51" i="15" s="1"/>
  <c r="K26" i="15"/>
  <c r="I51" i="15" s="1"/>
  <c r="H31" i="15"/>
  <c r="G56" i="15" s="1"/>
  <c r="G31" i="15"/>
  <c r="F56" i="15" s="1"/>
  <c r="H30" i="15"/>
  <c r="G55" i="15" s="1"/>
  <c r="G30" i="15"/>
  <c r="F55" i="15" s="1"/>
  <c r="H29" i="15"/>
  <c r="G54" i="15" s="1"/>
  <c r="G29" i="15"/>
  <c r="H28" i="15"/>
  <c r="G53" i="15" s="1"/>
  <c r="G28" i="15"/>
  <c r="F53" i="15" s="1"/>
  <c r="H27" i="15"/>
  <c r="G27" i="15"/>
  <c r="H26" i="15"/>
  <c r="G26" i="15"/>
  <c r="F51" i="15" s="1"/>
  <c r="J31" i="15"/>
  <c r="H56" i="15" s="1"/>
  <c r="J30" i="15"/>
  <c r="H55" i="15" s="1"/>
  <c r="J29" i="15"/>
  <c r="J28" i="15"/>
  <c r="J27" i="15"/>
  <c r="J26" i="15"/>
  <c r="H51" i="15" s="1"/>
  <c r="F31" i="15"/>
  <c r="E56" i="15" s="1"/>
  <c r="F30" i="15"/>
  <c r="E55" i="15" s="1"/>
  <c r="F29" i="15"/>
  <c r="E54" i="15" s="1"/>
  <c r="F28" i="15"/>
  <c r="F27" i="15"/>
  <c r="F26" i="15"/>
  <c r="E51" i="15" s="1"/>
  <c r="D31" i="15"/>
  <c r="D56" i="15" s="1"/>
  <c r="C31" i="15"/>
  <c r="C56" i="15" s="1"/>
  <c r="D30" i="15"/>
  <c r="D55" i="15" s="1"/>
  <c r="D24" i="19" s="1"/>
  <c r="C30" i="15"/>
  <c r="C55" i="15" s="1"/>
  <c r="C24" i="19" s="1"/>
  <c r="D29" i="15"/>
  <c r="D54" i="15" s="1"/>
  <c r="D23" i="19" s="1"/>
  <c r="C29" i="15"/>
  <c r="C54" i="15" s="1"/>
  <c r="C23" i="19" s="1"/>
  <c r="D28" i="15"/>
  <c r="D53" i="15" s="1"/>
  <c r="D22" i="19" s="1"/>
  <c r="C28" i="15"/>
  <c r="C53" i="15" s="1"/>
  <c r="C22" i="19" s="1"/>
  <c r="D27" i="15"/>
  <c r="D52" i="15" s="1"/>
  <c r="D21" i="19" s="1"/>
  <c r="C27" i="15"/>
  <c r="C52" i="15" s="1"/>
  <c r="C21" i="19" s="1"/>
  <c r="D26" i="15"/>
  <c r="C26" i="15"/>
  <c r="B31" i="15"/>
  <c r="B56" i="15" s="1"/>
  <c r="B30" i="15"/>
  <c r="B55" i="15" s="1"/>
  <c r="B24" i="19" s="1"/>
  <c r="B29" i="15"/>
  <c r="B54" i="15" s="1"/>
  <c r="B23" i="19" s="1"/>
  <c r="B28" i="15"/>
  <c r="B53" i="15" s="1"/>
  <c r="B22" i="19" s="1"/>
  <c r="B27" i="15"/>
  <c r="B52" i="15" s="1"/>
  <c r="B21" i="19" s="1"/>
  <c r="B26" i="15"/>
  <c r="AH18" i="19"/>
  <c r="AH17" i="19"/>
  <c r="A18" i="19"/>
  <c r="A17" i="19"/>
  <c r="AH14" i="19"/>
  <c r="T14" i="19"/>
  <c r="S14" i="19"/>
  <c r="R14" i="19"/>
  <c r="J14" i="19"/>
  <c r="I14" i="19"/>
  <c r="H14" i="19"/>
  <c r="D17" i="20"/>
  <c r="D18" i="20" s="1"/>
  <c r="C17" i="20"/>
  <c r="C19" i="20" s="1"/>
  <c r="B17" i="20"/>
  <c r="B18" i="20" s="1"/>
  <c r="J33" i="19"/>
  <c r="I33" i="19"/>
  <c r="H33" i="19"/>
  <c r="H32" i="19"/>
  <c r="I32" i="19"/>
  <c r="J32" i="19"/>
  <c r="J13" i="19"/>
  <c r="I13" i="19"/>
  <c r="H13" i="19"/>
  <c r="J7" i="19"/>
  <c r="I7" i="19"/>
  <c r="H7" i="19"/>
  <c r="G7" i="19"/>
  <c r="F7" i="19"/>
  <c r="E7" i="19"/>
  <c r="J6" i="19"/>
  <c r="I6" i="19"/>
  <c r="H6" i="19"/>
  <c r="G6" i="19"/>
  <c r="F6" i="19"/>
  <c r="E6" i="19"/>
  <c r="T33" i="19"/>
  <c r="S33" i="19"/>
  <c r="R33" i="19"/>
  <c r="T32" i="19"/>
  <c r="S32" i="19"/>
  <c r="R32" i="19"/>
  <c r="T13" i="19"/>
  <c r="S13" i="19"/>
  <c r="R13" i="19"/>
  <c r="T12" i="19"/>
  <c r="S12" i="19"/>
  <c r="R12" i="19"/>
  <c r="Q12" i="19"/>
  <c r="P12" i="19"/>
  <c r="O12" i="19"/>
  <c r="T11" i="19"/>
  <c r="S11" i="19"/>
  <c r="R11" i="19"/>
  <c r="Q11" i="19"/>
  <c r="P11" i="19"/>
  <c r="O11" i="19"/>
  <c r="T7" i="19"/>
  <c r="S7" i="19"/>
  <c r="R7" i="19"/>
  <c r="Q7" i="19"/>
  <c r="P7" i="19"/>
  <c r="O7" i="19"/>
  <c r="T6" i="19"/>
  <c r="S6" i="19"/>
  <c r="R6" i="19"/>
  <c r="Q6" i="19"/>
  <c r="P6" i="19"/>
  <c r="O6" i="19"/>
  <c r="AH33" i="19"/>
  <c r="AH32" i="19"/>
  <c r="AH16" i="19"/>
  <c r="A13" i="19"/>
  <c r="J12" i="19"/>
  <c r="I12" i="19"/>
  <c r="H12" i="19"/>
  <c r="G12" i="19"/>
  <c r="F12" i="19"/>
  <c r="E12" i="19"/>
  <c r="J11" i="19"/>
  <c r="I11" i="19"/>
  <c r="H11" i="19"/>
  <c r="G11" i="19"/>
  <c r="F11" i="19"/>
  <c r="E11" i="19"/>
  <c r="A12" i="19"/>
  <c r="A11" i="19"/>
  <c r="A10" i="19"/>
  <c r="AH7" i="19"/>
  <c r="AH6" i="19"/>
  <c r="E30" i="18"/>
  <c r="C30" i="18"/>
  <c r="B56" i="21" l="1"/>
  <c r="E57" i="21"/>
  <c r="E44" i="21"/>
  <c r="E32" i="21"/>
  <c r="E30" i="21"/>
  <c r="C44" i="21"/>
  <c r="D44" i="21"/>
  <c r="D30" i="21"/>
  <c r="C30" i="21"/>
  <c r="E20" i="21"/>
  <c r="E33" i="21"/>
  <c r="E19" i="21"/>
  <c r="E56" i="21"/>
  <c r="B44" i="21"/>
  <c r="B30" i="21"/>
  <c r="D56" i="21"/>
  <c r="C56" i="21"/>
  <c r="E9" i="21"/>
  <c r="E45" i="21"/>
  <c r="E7" i="21"/>
  <c r="E8" i="21"/>
  <c r="F22" i="19"/>
  <c r="J22" i="19"/>
  <c r="B93" i="3"/>
  <c r="G23" i="19"/>
  <c r="E53" i="15"/>
  <c r="H53" i="15"/>
  <c r="H22" i="19" s="1"/>
  <c r="H20" i="19"/>
  <c r="G51" i="15"/>
  <c r="G20" i="19" s="1"/>
  <c r="J21" i="19"/>
  <c r="G24" i="19"/>
  <c r="H52" i="15"/>
  <c r="H21" i="19" s="1"/>
  <c r="G22" i="19"/>
  <c r="F52" i="15"/>
  <c r="F21" i="19" s="1"/>
  <c r="F54" i="15"/>
  <c r="F23" i="19" s="1"/>
  <c r="J23" i="19"/>
  <c r="E52" i="15"/>
  <c r="H54" i="15"/>
  <c r="H23" i="19" s="1"/>
  <c r="J24" i="19"/>
  <c r="G52" i="15"/>
  <c r="G21" i="19" s="1"/>
  <c r="J20" i="19"/>
  <c r="H24" i="19"/>
  <c r="F20" i="19"/>
  <c r="F24" i="19"/>
  <c r="E24" i="1"/>
  <c r="B51" i="15"/>
  <c r="B20" i="19" s="1"/>
  <c r="C51" i="15"/>
  <c r="C20" i="19" s="1"/>
  <c r="D51" i="15"/>
  <c r="D20" i="19" s="1"/>
  <c r="B19" i="20"/>
  <c r="B20" i="20" s="1"/>
  <c r="D19" i="20"/>
  <c r="D20" i="20" s="1"/>
  <c r="C18" i="20"/>
  <c r="C20" i="20" s="1"/>
  <c r="E24" i="12"/>
  <c r="E23" i="12"/>
  <c r="E22" i="12"/>
  <c r="E21" i="12"/>
  <c r="E20" i="12"/>
  <c r="E19" i="12"/>
  <c r="E18" i="12"/>
  <c r="E17" i="12"/>
  <c r="E16" i="12"/>
  <c r="E15" i="12"/>
  <c r="E14" i="12"/>
  <c r="E13" i="12"/>
  <c r="E12" i="12"/>
  <c r="E11" i="12"/>
  <c r="A48" i="12"/>
  <c r="A47" i="12"/>
  <c r="A46" i="12"/>
  <c r="A45" i="12"/>
  <c r="A44" i="12"/>
  <c r="A43" i="12"/>
  <c r="A42" i="12"/>
  <c r="A41" i="12"/>
  <c r="A40" i="12"/>
  <c r="A39" i="12"/>
  <c r="A38" i="12"/>
  <c r="A37" i="12"/>
  <c r="A36" i="12"/>
  <c r="A35" i="12"/>
  <c r="I25" i="12"/>
  <c r="H25" i="12"/>
  <c r="F25" i="12"/>
  <c r="C25" i="12"/>
  <c r="B25" i="12"/>
  <c r="D35" i="17"/>
  <c r="C35" i="17"/>
  <c r="B35" i="17"/>
  <c r="H20" i="21" l="1"/>
  <c r="F20" i="21"/>
  <c r="G20" i="21"/>
  <c r="H32" i="21"/>
  <c r="G32" i="21"/>
  <c r="F32" i="21"/>
  <c r="G8" i="21"/>
  <c r="F8" i="21"/>
  <c r="H8" i="21"/>
  <c r="H44" i="21"/>
  <c r="G44" i="21"/>
  <c r="F44" i="21"/>
  <c r="G30" i="21"/>
  <c r="F30" i="21"/>
  <c r="H30" i="21"/>
  <c r="G19" i="21"/>
  <c r="F19" i="21"/>
  <c r="H9" i="21"/>
  <c r="G9" i="21"/>
  <c r="F9" i="21"/>
  <c r="H56" i="21"/>
  <c r="F56" i="21"/>
  <c r="G56" i="21"/>
  <c r="H57" i="21"/>
  <c r="F57" i="21"/>
  <c r="G57" i="21"/>
  <c r="E29" i="20"/>
  <c r="E28" i="20"/>
  <c r="C29" i="20"/>
  <c r="C28" i="20"/>
  <c r="D28" i="20"/>
  <c r="D29" i="20"/>
  <c r="I26" i="12"/>
  <c r="C26" i="12"/>
  <c r="E25" i="12"/>
  <c r="F26" i="12" s="1"/>
  <c r="E40" i="20" l="1"/>
  <c r="E14" i="19" s="1"/>
  <c r="F40" i="20"/>
  <c r="F14" i="19" s="1"/>
  <c r="G28" i="20"/>
  <c r="C40" i="20"/>
  <c r="C14" i="19" s="1"/>
  <c r="F28" i="20"/>
  <c r="B40" i="20"/>
  <c r="B14" i="19" s="1"/>
  <c r="H28" i="20"/>
  <c r="D40" i="20"/>
  <c r="D14" i="19" s="1"/>
  <c r="G40" i="20"/>
  <c r="G14" i="19" s="1"/>
  <c r="J26" i="10"/>
  <c r="J25" i="10"/>
  <c r="J44" i="10" s="1"/>
  <c r="J18" i="19" s="1"/>
  <c r="I26" i="10"/>
  <c r="I25" i="10"/>
  <c r="I44" i="10" s="1"/>
  <c r="I18" i="19" s="1"/>
  <c r="G26" i="10"/>
  <c r="G25" i="10"/>
  <c r="G44" i="10" s="1"/>
  <c r="G18" i="19" s="1"/>
  <c r="F26" i="10"/>
  <c r="F25" i="10"/>
  <c r="F44" i="10" s="1"/>
  <c r="F18" i="19" s="1"/>
  <c r="D26" i="10"/>
  <c r="D25" i="10"/>
  <c r="D44" i="10" s="1"/>
  <c r="D18" i="19" s="1"/>
  <c r="C26" i="10"/>
  <c r="C25" i="10"/>
  <c r="C44" i="10" s="1"/>
  <c r="C18" i="19" s="1"/>
  <c r="E26" i="10"/>
  <c r="E25" i="10"/>
  <c r="E44" i="10" s="1"/>
  <c r="E18" i="19" s="1"/>
  <c r="D39" i="13"/>
  <c r="B39" i="13"/>
  <c r="G31" i="13" l="1"/>
  <c r="F31" i="13"/>
  <c r="E31" i="13"/>
  <c r="G30" i="13"/>
  <c r="F30" i="13"/>
  <c r="E30" i="13"/>
  <c r="G24" i="13"/>
  <c r="F24" i="13"/>
  <c r="E24" i="13"/>
  <c r="G23" i="13"/>
  <c r="F23" i="13"/>
  <c r="E23" i="13"/>
  <c r="G19" i="13"/>
  <c r="F19" i="13"/>
  <c r="E19" i="13"/>
  <c r="G18" i="13"/>
  <c r="F18" i="13"/>
  <c r="E18" i="13"/>
  <c r="G17" i="13"/>
  <c r="F17" i="13"/>
  <c r="E17" i="13"/>
  <c r="G15" i="13"/>
  <c r="F15" i="13"/>
  <c r="E15" i="13"/>
  <c r="C22" i="9"/>
  <c r="D64" i="16"/>
  <c r="C64" i="16"/>
  <c r="B64" i="16"/>
  <c r="E20" i="13" l="1"/>
  <c r="F20" i="13"/>
  <c r="G20" i="13"/>
  <c r="E21" i="13"/>
  <c r="E22" i="13" s="1"/>
  <c r="F21" i="13"/>
  <c r="G21" i="13"/>
  <c r="D38" i="13"/>
  <c r="B38" i="13"/>
  <c r="H26" i="10"/>
  <c r="H25" i="10"/>
  <c r="H44" i="10" s="1"/>
  <c r="H18" i="19" s="1"/>
  <c r="B26" i="10"/>
  <c r="B25" i="10"/>
  <c r="B44" i="10" s="1"/>
  <c r="B18" i="19" s="1"/>
  <c r="D34" i="8"/>
  <c r="C34" i="8"/>
  <c r="B34" i="8"/>
  <c r="D33" i="8"/>
  <c r="C33" i="8"/>
  <c r="B33" i="8"/>
  <c r="C21" i="8"/>
  <c r="B21" i="8"/>
  <c r="D32" i="8"/>
  <c r="C32" i="8"/>
  <c r="B32" i="8"/>
  <c r="J25" i="5"/>
  <c r="I25" i="5"/>
  <c r="H25" i="5"/>
  <c r="G25" i="5"/>
  <c r="F25" i="5"/>
  <c r="E25" i="5"/>
  <c r="J24" i="5"/>
  <c r="I24" i="5"/>
  <c r="H24" i="5"/>
  <c r="G24" i="5"/>
  <c r="F24" i="5"/>
  <c r="E24" i="5"/>
  <c r="F22" i="13" l="1"/>
  <c r="F26" i="13" s="1"/>
  <c r="B27" i="10"/>
  <c r="B43" i="10" s="1"/>
  <c r="B17" i="19" s="1"/>
  <c r="B32" i="21" s="1"/>
  <c r="H27" i="10"/>
  <c r="H43" i="10" s="1"/>
  <c r="H17" i="19" s="1"/>
  <c r="G22" i="13"/>
  <c r="G32" i="13" s="1"/>
  <c r="E32" i="13"/>
  <c r="E26" i="13"/>
  <c r="C27" i="10"/>
  <c r="C43" i="10" s="1"/>
  <c r="C17" i="19" s="1"/>
  <c r="C32" i="21" s="1"/>
  <c r="I27" i="10"/>
  <c r="I43" i="10" s="1"/>
  <c r="I17" i="19" s="1"/>
  <c r="D27" i="10"/>
  <c r="D43" i="10" s="1"/>
  <c r="D17" i="19" s="1"/>
  <c r="D32" i="21" s="1"/>
  <c r="J27" i="10"/>
  <c r="J43" i="10" s="1"/>
  <c r="J17" i="19" s="1"/>
  <c r="E27" i="10"/>
  <c r="E43" i="10" s="1"/>
  <c r="E17" i="19" s="1"/>
  <c r="F27" i="10"/>
  <c r="F43" i="10" s="1"/>
  <c r="F17" i="19" s="1"/>
  <c r="G27" i="10"/>
  <c r="G43" i="10" s="1"/>
  <c r="G17" i="19" s="1"/>
  <c r="B24" i="5"/>
  <c r="D25" i="5"/>
  <c r="C25" i="5"/>
  <c r="B25" i="5"/>
  <c r="G26" i="5"/>
  <c r="G37" i="5" s="1"/>
  <c r="G16" i="19" s="1"/>
  <c r="F26" i="5"/>
  <c r="F37" i="5" s="1"/>
  <c r="F16" i="19" s="1"/>
  <c r="E26" i="5"/>
  <c r="E37" i="5" s="1"/>
  <c r="E16" i="19" s="1"/>
  <c r="D24" i="5"/>
  <c r="C24" i="5"/>
  <c r="C26" i="5" l="1"/>
  <c r="C37" i="5" s="1"/>
  <c r="C16" i="19" s="1"/>
  <c r="D26" i="5"/>
  <c r="D37" i="5" s="1"/>
  <c r="D16" i="19" s="1"/>
  <c r="D8" i="21" s="1"/>
  <c r="F32" i="13"/>
  <c r="C20" i="21"/>
  <c r="C8" i="21"/>
  <c r="G26" i="13"/>
  <c r="H26" i="5"/>
  <c r="H37" i="5" s="1"/>
  <c r="H16" i="19" s="1"/>
  <c r="J26" i="5"/>
  <c r="J37" i="5" s="1"/>
  <c r="J16" i="19" s="1"/>
  <c r="B26" i="5"/>
  <c r="B37" i="5" s="1"/>
  <c r="B16" i="19" s="1"/>
  <c r="I26" i="5"/>
  <c r="I37" i="5" s="1"/>
  <c r="I16" i="19" s="1"/>
  <c r="D20" i="21" l="1"/>
  <c r="B8" i="21"/>
  <c r="B20" i="21"/>
  <c r="B32" i="3"/>
  <c r="C15" i="18" s="1"/>
  <c r="E18" i="18" s="1"/>
  <c r="B43" i="3"/>
  <c r="C46" i="16"/>
  <c r="C58" i="16" s="1"/>
  <c r="C45" i="16"/>
  <c r="C57" i="16" s="1"/>
  <c r="C44" i="16"/>
  <c r="D56" i="16" s="1"/>
  <c r="H32" i="16"/>
  <c r="H31" i="16"/>
  <c r="E25" i="16"/>
  <c r="D25" i="16"/>
  <c r="C25" i="16"/>
  <c r="B25" i="16"/>
  <c r="C31" i="16"/>
  <c r="D31" i="16" s="1"/>
  <c r="E31" i="16" s="1"/>
  <c r="E24" i="16"/>
  <c r="D24" i="16"/>
  <c r="C24" i="16"/>
  <c r="B24" i="16"/>
  <c r="D18" i="18" l="1"/>
  <c r="D57" i="16"/>
  <c r="E26" i="16"/>
  <c r="E28" i="16" s="1"/>
  <c r="B57" i="16"/>
  <c r="B56" i="16"/>
  <c r="D58" i="16"/>
  <c r="B58" i="16"/>
  <c r="C56" i="16"/>
  <c r="D26" i="16"/>
  <c r="D28" i="16" s="1"/>
  <c r="B26" i="16"/>
  <c r="B28" i="16" s="1"/>
  <c r="C26" i="16"/>
  <c r="C28" i="16" s="1"/>
  <c r="S32" i="15"/>
  <c r="S31" i="15"/>
  <c r="S30" i="15"/>
  <c r="S29" i="15"/>
  <c r="S28" i="15"/>
  <c r="S27" i="15"/>
  <c r="S26" i="15"/>
  <c r="R32" i="15"/>
  <c r="R31" i="15"/>
  <c r="R30" i="15"/>
  <c r="R29" i="15"/>
  <c r="R28" i="15"/>
  <c r="R27" i="15"/>
  <c r="R26" i="15"/>
  <c r="Q26" i="15"/>
  <c r="Q32" i="15"/>
  <c r="Q31" i="15"/>
  <c r="Q30" i="15"/>
  <c r="Q29" i="15"/>
  <c r="Q28" i="15"/>
  <c r="Q27" i="15"/>
  <c r="E19" i="18" l="1"/>
  <c r="E32" i="16"/>
  <c r="E37" i="16"/>
  <c r="B32" i="16"/>
  <c r="B37" i="16"/>
  <c r="D32" i="16"/>
  <c r="D37" i="16"/>
  <c r="C37" i="16"/>
  <c r="C32" i="16"/>
  <c r="E27" i="16"/>
  <c r="C27" i="16"/>
  <c r="D25" i="13"/>
  <c r="G25" i="13" s="1"/>
  <c r="C25" i="13"/>
  <c r="F25" i="13" s="1"/>
  <c r="B25" i="13"/>
  <c r="E25" i="13" s="1"/>
  <c r="A31" i="15"/>
  <c r="A44" i="15" s="1"/>
  <c r="A30" i="15"/>
  <c r="A43" i="15" s="1"/>
  <c r="A29" i="15"/>
  <c r="A42" i="15" s="1"/>
  <c r="A28" i="15"/>
  <c r="A41" i="15" s="1"/>
  <c r="A27" i="15"/>
  <c r="A40" i="15" s="1"/>
  <c r="A26" i="15"/>
  <c r="A39" i="15" s="1"/>
  <c r="A51" i="15" l="1"/>
  <c r="A53" i="15"/>
  <c r="A52" i="15"/>
  <c r="A55" i="15"/>
  <c r="A24" i="19" s="1"/>
  <c r="A54" i="15"/>
  <c r="A23" i="19" s="1"/>
  <c r="A56" i="15"/>
  <c r="D19" i="18"/>
  <c r="E33" i="13"/>
  <c r="E34" i="13" s="1"/>
  <c r="E27" i="13"/>
  <c r="E28" i="13" s="1"/>
  <c r="B50" i="13" s="1"/>
  <c r="F33" i="13"/>
  <c r="F34" i="13" s="1"/>
  <c r="F27" i="13"/>
  <c r="F28" i="13" s="1"/>
  <c r="C50" i="13" s="1"/>
  <c r="G33" i="13"/>
  <c r="G34" i="13" s="1"/>
  <c r="G27" i="13"/>
  <c r="G28" i="13" s="1"/>
  <c r="D50" i="13" s="1"/>
  <c r="C33" i="16"/>
  <c r="E33" i="16"/>
  <c r="C38" i="16"/>
  <c r="I31" i="16" s="1"/>
  <c r="E38" i="16"/>
  <c r="I32" i="16" s="1"/>
  <c r="D21" i="14"/>
  <c r="C21" i="14"/>
  <c r="B21" i="14"/>
  <c r="D20" i="14"/>
  <c r="C20" i="14"/>
  <c r="B20" i="14"/>
  <c r="D16" i="14"/>
  <c r="C16" i="14"/>
  <c r="C17" i="14" s="1"/>
  <c r="B16" i="14"/>
  <c r="B17" i="14" s="1"/>
  <c r="D21" i="13"/>
  <c r="C21" i="13"/>
  <c r="B21" i="13"/>
  <c r="D20" i="13"/>
  <c r="C20" i="13"/>
  <c r="B20" i="13"/>
  <c r="I49" i="12"/>
  <c r="H49" i="12"/>
  <c r="F49" i="12"/>
  <c r="C49" i="12"/>
  <c r="B49" i="12"/>
  <c r="E48" i="12"/>
  <c r="E47" i="12"/>
  <c r="E46" i="12"/>
  <c r="E45" i="12"/>
  <c r="E44" i="12"/>
  <c r="E43" i="12"/>
  <c r="E42" i="12"/>
  <c r="E41" i="12"/>
  <c r="E40" i="12"/>
  <c r="E39" i="12"/>
  <c r="E38" i="12"/>
  <c r="E37" i="12"/>
  <c r="E36" i="12"/>
  <c r="E35" i="12"/>
  <c r="B15" i="3"/>
  <c r="C65" i="3"/>
  <c r="C73" i="3"/>
  <c r="C67" i="3"/>
  <c r="C66" i="3"/>
  <c r="C75" i="3"/>
  <c r="C74" i="3"/>
  <c r="C72" i="3"/>
  <c r="C86" i="3"/>
  <c r="G87" i="3" s="1"/>
  <c r="C78" i="3"/>
  <c r="C62" i="3"/>
  <c r="C70" i="3"/>
  <c r="E55" i="21" l="1"/>
  <c r="E54" i="21"/>
  <c r="E43" i="21"/>
  <c r="E10" i="21"/>
  <c r="E42" i="21"/>
  <c r="E31" i="21"/>
  <c r="E21" i="21"/>
  <c r="C91" i="3"/>
  <c r="F29" i="20"/>
  <c r="H29" i="20"/>
  <c r="G29" i="20"/>
  <c r="F49" i="13"/>
  <c r="F13" i="19" s="1"/>
  <c r="F50" i="13"/>
  <c r="E50" i="13"/>
  <c r="E49" i="13"/>
  <c r="E13" i="19" s="1"/>
  <c r="G50" i="13"/>
  <c r="G49" i="13"/>
  <c r="G13" i="19" s="1"/>
  <c r="I50" i="12"/>
  <c r="D27" i="5"/>
  <c r="D28" i="10"/>
  <c r="C28" i="10"/>
  <c r="B27" i="5"/>
  <c r="C50" i="12"/>
  <c r="E27" i="5"/>
  <c r="G28" i="10"/>
  <c r="G27" i="5"/>
  <c r="F27" i="5"/>
  <c r="E28" i="10"/>
  <c r="F28" i="10"/>
  <c r="E49" i="12"/>
  <c r="F50" i="12" s="1"/>
  <c r="C23" i="14"/>
  <c r="C41" i="14" s="1"/>
  <c r="C12" i="19" s="1"/>
  <c r="B22" i="14"/>
  <c r="B40" i="14" s="1"/>
  <c r="B11" i="19" s="1"/>
  <c r="B9" i="21" s="1"/>
  <c r="B12" i="21" s="1"/>
  <c r="C22" i="14"/>
  <c r="C40" i="14" s="1"/>
  <c r="C11" i="19" s="1"/>
  <c r="C9" i="21" s="1"/>
  <c r="D22" i="14"/>
  <c r="D40" i="14" s="1"/>
  <c r="D11" i="19" s="1"/>
  <c r="D9" i="21" s="1"/>
  <c r="B23" i="14"/>
  <c r="B41" i="14" s="1"/>
  <c r="B12" i="19" s="1"/>
  <c r="D17" i="14"/>
  <c r="D23" i="14" s="1"/>
  <c r="D41" i="14" s="1"/>
  <c r="D12" i="19" s="1"/>
  <c r="D22" i="13"/>
  <c r="B22" i="13"/>
  <c r="C22" i="13"/>
  <c r="D12" i="21" l="1"/>
  <c r="C12" i="21"/>
  <c r="B35" i="21"/>
  <c r="C35" i="21"/>
  <c r="D35" i="21"/>
  <c r="B47" i="21"/>
  <c r="D47" i="21"/>
  <c r="C47" i="21"/>
  <c r="C27" i="5"/>
  <c r="B28" i="10"/>
  <c r="B26" i="14"/>
  <c r="D27" i="14"/>
  <c r="D26" i="14"/>
  <c r="C26" i="14"/>
  <c r="C27" i="14"/>
  <c r="B27" i="14"/>
  <c r="H28" i="10"/>
  <c r="I28" i="10"/>
  <c r="J28" i="10"/>
  <c r="I27" i="5"/>
  <c r="H27" i="5"/>
  <c r="J27" i="5"/>
  <c r="B33" i="13"/>
  <c r="B32" i="13"/>
  <c r="B27" i="13"/>
  <c r="C27" i="13"/>
  <c r="C32" i="13"/>
  <c r="C33" i="13"/>
  <c r="D26" i="13"/>
  <c r="D27" i="13"/>
  <c r="D33" i="13"/>
  <c r="D32" i="13"/>
  <c r="C26" i="13"/>
  <c r="B26" i="13"/>
  <c r="C95" i="3"/>
  <c r="B19" i="3" s="1"/>
  <c r="C81" i="3"/>
  <c r="C97" i="3" s="1"/>
  <c r="B40" i="3" s="1"/>
  <c r="C80" i="3"/>
  <c r="C83" i="3"/>
  <c r="C99" i="3" s="1"/>
  <c r="C82" i="3"/>
  <c r="C98" i="3" s="1"/>
  <c r="B41" i="3" l="1"/>
  <c r="D32" i="18" s="1"/>
  <c r="O39" i="18" s="1"/>
  <c r="P32" i="19" s="1"/>
  <c r="Q89" i="16"/>
  <c r="R26" i="19" s="1"/>
  <c r="Q91" i="16"/>
  <c r="R28" i="19" s="1"/>
  <c r="S91" i="16"/>
  <c r="T28" i="19" s="1"/>
  <c r="R90" i="16"/>
  <c r="S27" i="19" s="1"/>
  <c r="R91" i="16"/>
  <c r="S28" i="19" s="1"/>
  <c r="S90" i="16"/>
  <c r="T27" i="19" s="1"/>
  <c r="S89" i="16"/>
  <c r="T26" i="19" s="1"/>
  <c r="Q90" i="16"/>
  <c r="R27" i="19" s="1"/>
  <c r="R89" i="16"/>
  <c r="S26" i="19" s="1"/>
  <c r="B34" i="13"/>
  <c r="D28" i="13"/>
  <c r="D34" i="13"/>
  <c r="H39" i="8" a="1"/>
  <c r="C28" i="13"/>
  <c r="C34" i="13"/>
  <c r="B28" i="13"/>
  <c r="B53" i="3"/>
  <c r="B55" i="3" s="1"/>
  <c r="H40" i="8" s="1" a="1"/>
  <c r="H40" i="8" s="1"/>
  <c r="B52" i="3"/>
  <c r="B54" i="3" s="1"/>
  <c r="I28" i="15" l="1"/>
  <c r="I22" i="19" s="1"/>
  <c r="I26" i="15"/>
  <c r="I20" i="19" s="1"/>
  <c r="F82" i="16"/>
  <c r="O90" i="16" s="1"/>
  <c r="P27" i="19" s="1"/>
  <c r="E23" i="10"/>
  <c r="F37" i="10" s="1"/>
  <c r="O43" i="10" s="1"/>
  <c r="P17" i="19" s="1"/>
  <c r="N37" i="5"/>
  <c r="O16" i="19" s="1"/>
  <c r="D42" i="13"/>
  <c r="E32" i="18"/>
  <c r="P39" i="18" s="1"/>
  <c r="Q32" i="19" s="1"/>
  <c r="C42" i="13"/>
  <c r="I31" i="15"/>
  <c r="F44" i="15" s="1"/>
  <c r="O56" i="15" s="1"/>
  <c r="E22" i="5"/>
  <c r="E34" i="18"/>
  <c r="P40" i="18" s="1"/>
  <c r="Q33" i="19" s="1"/>
  <c r="I29" i="15"/>
  <c r="I23" i="19" s="1"/>
  <c r="I27" i="15"/>
  <c r="I21" i="19" s="1"/>
  <c r="F83" i="16"/>
  <c r="O91" i="16" s="1"/>
  <c r="P28" i="19" s="1"/>
  <c r="O37" i="5"/>
  <c r="P16" i="19" s="1"/>
  <c r="D33" i="20"/>
  <c r="O40" i="20" s="1"/>
  <c r="P14" i="19" s="1"/>
  <c r="C32" i="18"/>
  <c r="N39" i="18" s="1"/>
  <c r="O32" i="19" s="1"/>
  <c r="D34" i="18"/>
  <c r="O40" i="18" s="1"/>
  <c r="P33" i="19" s="1"/>
  <c r="I30" i="15"/>
  <c r="I24" i="19" s="1"/>
  <c r="H39" i="8"/>
  <c r="B47" i="8" s="1"/>
  <c r="N65" i="8" s="1"/>
  <c r="O10" i="19" s="1"/>
  <c r="F81" i="16"/>
  <c r="O89" i="16" s="1"/>
  <c r="P26" i="19" s="1"/>
  <c r="P37" i="5"/>
  <c r="Q16" i="19" s="1"/>
  <c r="B42" i="13"/>
  <c r="C34" i="18"/>
  <c r="N40" i="18" s="1"/>
  <c r="O33" i="19" s="1"/>
  <c r="R37" i="5"/>
  <c r="S16" i="19" s="1"/>
  <c r="S37" i="5"/>
  <c r="T16" i="19" s="1"/>
  <c r="C49" i="13"/>
  <c r="C13" i="19" s="1"/>
  <c r="Q37" i="5"/>
  <c r="R16" i="19" s="1"/>
  <c r="B49" i="13"/>
  <c r="B13" i="19" s="1"/>
  <c r="D49" i="13"/>
  <c r="D13" i="19" s="1"/>
  <c r="E43" i="15"/>
  <c r="N55" i="15" s="1"/>
  <c r="O24" i="19" s="1"/>
  <c r="G41" i="15"/>
  <c r="P53" i="15" s="1"/>
  <c r="Q22" i="19" s="1"/>
  <c r="E83" i="16"/>
  <c r="N91" i="16" s="1"/>
  <c r="O28" i="19" s="1"/>
  <c r="H23" i="10"/>
  <c r="H22" i="5"/>
  <c r="D48" i="8"/>
  <c r="S65" i="8" s="1"/>
  <c r="T10" i="19" s="1"/>
  <c r="C48" i="8"/>
  <c r="B48" i="8"/>
  <c r="Q65" i="8" s="1"/>
  <c r="R10" i="19" s="1"/>
  <c r="M26" i="15"/>
  <c r="M30" i="15"/>
  <c r="M31" i="15"/>
  <c r="M29" i="15"/>
  <c r="M28" i="15"/>
  <c r="M27" i="15"/>
  <c r="D19" i="21" l="1"/>
  <c r="D57" i="21"/>
  <c r="D59" i="21" s="1"/>
  <c r="B19" i="21"/>
  <c r="B23" i="21" s="1"/>
  <c r="B57" i="21"/>
  <c r="B59" i="21" s="1"/>
  <c r="C57" i="21"/>
  <c r="C59" i="21" s="1"/>
  <c r="C19" i="21"/>
  <c r="C23" i="21" s="1"/>
  <c r="G40" i="15"/>
  <c r="P52" i="15" s="1"/>
  <c r="Q21" i="19" s="1"/>
  <c r="G44" i="15"/>
  <c r="P56" i="15" s="1"/>
  <c r="E44" i="15"/>
  <c r="N56" i="15" s="1"/>
  <c r="G83" i="16"/>
  <c r="P91" i="16" s="1"/>
  <c r="Q28" i="19" s="1"/>
  <c r="F39" i="15"/>
  <c r="O51" i="15" s="1"/>
  <c r="P20" i="19" s="1"/>
  <c r="G81" i="16"/>
  <c r="P89" i="16" s="1"/>
  <c r="Q26" i="19" s="1"/>
  <c r="E41" i="15"/>
  <c r="N53" i="15" s="1"/>
  <c r="O22" i="19" s="1"/>
  <c r="E40" i="15"/>
  <c r="N52" i="15" s="1"/>
  <c r="O21" i="19" s="1"/>
  <c r="E39" i="15"/>
  <c r="N51" i="15" s="1"/>
  <c r="O20" i="19" s="1"/>
  <c r="E81" i="16"/>
  <c r="N89" i="16" s="1"/>
  <c r="O26" i="19" s="1"/>
  <c r="F41" i="15"/>
  <c r="O53" i="15" s="1"/>
  <c r="P22" i="19" s="1"/>
  <c r="F40" i="15"/>
  <c r="O52" i="15" s="1"/>
  <c r="P21" i="19" s="1"/>
  <c r="G39" i="15"/>
  <c r="P51" i="15" s="1"/>
  <c r="Q20" i="19" s="1"/>
  <c r="E33" i="20"/>
  <c r="P40" i="20" s="1"/>
  <c r="Q14" i="19" s="1"/>
  <c r="E42" i="15"/>
  <c r="N54" i="15" s="1"/>
  <c r="O23" i="19" s="1"/>
  <c r="O44" i="10"/>
  <c r="P18" i="19" s="1"/>
  <c r="C47" i="8"/>
  <c r="O65" i="8" s="1"/>
  <c r="P10" i="19" s="1"/>
  <c r="E37" i="10"/>
  <c r="N43" i="10" s="1"/>
  <c r="N44" i="10" s="1"/>
  <c r="O18" i="19" s="1"/>
  <c r="D47" i="8"/>
  <c r="P65" i="8" s="1"/>
  <c r="Q10" i="19" s="1"/>
  <c r="E82" i="16"/>
  <c r="N90" i="16" s="1"/>
  <c r="O27" i="19" s="1"/>
  <c r="F43" i="15"/>
  <c r="O55" i="15" s="1"/>
  <c r="P24" i="19" s="1"/>
  <c r="C33" i="20"/>
  <c r="N40" i="20" s="1"/>
  <c r="O14" i="19" s="1"/>
  <c r="F42" i="15"/>
  <c r="O54" i="15" s="1"/>
  <c r="P23" i="19" s="1"/>
  <c r="G37" i="10"/>
  <c r="P43" i="10" s="1"/>
  <c r="G82" i="16"/>
  <c r="P90" i="16" s="1"/>
  <c r="Q27" i="19" s="1"/>
  <c r="G42" i="15"/>
  <c r="P54" i="15" s="1"/>
  <c r="Q23" i="19" s="1"/>
  <c r="G43" i="15"/>
  <c r="P55" i="15" s="1"/>
  <c r="Q24" i="19" s="1"/>
  <c r="J37" i="10"/>
  <c r="S43" i="10" s="1"/>
  <c r="H37" i="10"/>
  <c r="Q43" i="10" s="1"/>
  <c r="I37" i="10"/>
  <c r="R43" i="10" s="1"/>
  <c r="N49" i="13"/>
  <c r="R65" i="8"/>
  <c r="S10" i="19" s="1"/>
  <c r="G48" i="8"/>
  <c r="P49" i="13"/>
  <c r="O49" i="13"/>
  <c r="I42" i="15"/>
  <c r="R54" i="15" s="1"/>
  <c r="S23" i="19" s="1"/>
  <c r="H42" i="15"/>
  <c r="Q54" i="15" s="1"/>
  <c r="R23" i="19" s="1"/>
  <c r="J42" i="15"/>
  <c r="S54" i="15" s="1"/>
  <c r="T23" i="19" s="1"/>
  <c r="J41" i="15"/>
  <c r="S53" i="15" s="1"/>
  <c r="T22" i="19" s="1"/>
  <c r="I41" i="15"/>
  <c r="R53" i="15" s="1"/>
  <c r="S22" i="19" s="1"/>
  <c r="H41" i="15"/>
  <c r="Q53" i="15" s="1"/>
  <c r="R22" i="19" s="1"/>
  <c r="I44" i="15"/>
  <c r="R56" i="15" s="1"/>
  <c r="H44" i="15"/>
  <c r="Q56" i="15" s="1"/>
  <c r="J44" i="15"/>
  <c r="S56" i="15" s="1"/>
  <c r="J39" i="15"/>
  <c r="S51" i="15" s="1"/>
  <c r="T20" i="19" s="1"/>
  <c r="H39" i="15"/>
  <c r="Q51" i="15" s="1"/>
  <c r="R20" i="19" s="1"/>
  <c r="I39" i="15"/>
  <c r="R51" i="15" s="1"/>
  <c r="S20" i="19" s="1"/>
  <c r="J43" i="15"/>
  <c r="S55" i="15" s="1"/>
  <c r="T24" i="19" s="1"/>
  <c r="I43" i="15"/>
  <c r="R55" i="15" s="1"/>
  <c r="S24" i="19" s="1"/>
  <c r="H43" i="15"/>
  <c r="Q55" i="15" s="1"/>
  <c r="R24" i="19" s="1"/>
  <c r="I40" i="15"/>
  <c r="R52" i="15" s="1"/>
  <c r="S21" i="19" s="1"/>
  <c r="H40" i="15"/>
  <c r="Q52" i="15" s="1"/>
  <c r="R21" i="19" s="1"/>
  <c r="J40" i="15"/>
  <c r="S52" i="15" s="1"/>
  <c r="T21" i="19" s="1"/>
  <c r="B22" i="9"/>
  <c r="D22" i="9"/>
  <c r="H19" i="21" l="1"/>
  <c r="D23" i="21"/>
  <c r="G47" i="8"/>
  <c r="O17" i="19"/>
  <c r="Q17" i="19"/>
  <c r="P44" i="10"/>
  <c r="Q18" i="19" s="1"/>
  <c r="R17" i="19"/>
  <c r="Q44" i="10"/>
  <c r="R18" i="19" s="1"/>
  <c r="R44" i="10"/>
  <c r="S18" i="19" s="1"/>
  <c r="S17" i="19"/>
  <c r="T17" i="19"/>
  <c r="S44" i="10"/>
  <c r="T18" i="19" s="1"/>
  <c r="P50" i="13"/>
  <c r="Q13" i="19"/>
  <c r="P13" i="19"/>
  <c r="O50" i="13"/>
  <c r="N50" i="13"/>
  <c r="O13" i="19"/>
  <c r="D20" i="9"/>
  <c r="C20" i="9"/>
  <c r="B20" i="9"/>
  <c r="P16" i="1" l="1"/>
  <c r="O16" i="1"/>
  <c r="P18" i="1"/>
  <c r="P15" i="1"/>
  <c r="O18" i="1"/>
  <c r="O15" i="1"/>
  <c r="B17" i="1"/>
  <c r="B18" i="1" s="1"/>
  <c r="N18" i="1" s="1"/>
  <c r="D24" i="1"/>
  <c r="D23" i="1"/>
  <c r="C24" i="1"/>
  <c r="C23" i="1"/>
  <c r="O17" i="1" l="1"/>
  <c r="P17" i="1"/>
  <c r="B15" i="1"/>
  <c r="N15" i="1" s="1"/>
  <c r="N17" i="1"/>
  <c r="B16" i="1"/>
  <c r="N16" i="1" s="1"/>
  <c r="B24" i="1" l="1"/>
  <c r="B23" i="1"/>
  <c r="D44" i="5"/>
  <c r="E44" i="5" s="1"/>
  <c r="F44" i="5" s="1"/>
  <c r="G44" i="5" s="1"/>
  <c r="F56" i="5"/>
  <c r="F55" i="5"/>
  <c r="F54" i="5"/>
  <c r="F51" i="5"/>
  <c r="E63" i="5"/>
  <c r="F63" i="5" s="1"/>
  <c r="E62" i="5"/>
  <c r="F62" i="5" s="1"/>
  <c r="E61" i="5"/>
  <c r="F61" i="5" s="1"/>
  <c r="E60" i="5"/>
  <c r="F60" i="5" s="1"/>
  <c r="E59" i="5"/>
  <c r="F59" i="5" s="1"/>
  <c r="D43" i="5"/>
  <c r="E43" i="5" s="1"/>
  <c r="D42" i="5"/>
  <c r="E42" i="5" s="1"/>
  <c r="F42" i="5" s="1"/>
  <c r="G42" i="5" s="1"/>
  <c r="D56" i="5"/>
  <c r="D55" i="5"/>
  <c r="D54" i="5"/>
  <c r="D53" i="5"/>
  <c r="D51" i="5"/>
  <c r="D50" i="5"/>
  <c r="B6" i="3"/>
  <c r="B4" i="3"/>
  <c r="N14" i="1"/>
  <c r="J13" i="1"/>
  <c r="D56" i="1" l="1"/>
  <c r="C56" i="1"/>
  <c r="B56" i="1"/>
  <c r="B58" i="1" s="1"/>
  <c r="D57" i="1"/>
  <c r="C57" i="1"/>
  <c r="B57" i="1"/>
  <c r="B59" i="1" s="1"/>
  <c r="B28" i="3"/>
  <c r="B39" i="3"/>
  <c r="B49" i="3"/>
  <c r="B51" i="3" s="1"/>
  <c r="B37" i="3"/>
  <c r="B26" i="3"/>
  <c r="E54" i="5"/>
  <c r="E56" i="5"/>
  <c r="E55" i="5"/>
  <c r="E51" i="5"/>
  <c r="F43" i="5"/>
  <c r="G43" i="5" s="1"/>
  <c r="C53" i="8" l="1"/>
  <c r="D53" i="8"/>
  <c r="B53" i="8"/>
  <c r="D52" i="8"/>
  <c r="B52" i="8"/>
  <c r="C52" i="8"/>
  <c r="B42" i="3"/>
  <c r="B56" i="3"/>
  <c r="B58" i="3"/>
  <c r="B57" i="3"/>
  <c r="C26" i="18" l="1"/>
  <c r="E40" i="18" s="1"/>
  <c r="E33" i="19" s="1"/>
  <c r="C24" i="18"/>
  <c r="E24" i="18"/>
  <c r="D24" i="18"/>
  <c r="E26" i="18"/>
  <c r="G40" i="18" s="1"/>
  <c r="G33" i="19" s="1"/>
  <c r="D26" i="18"/>
  <c r="F40" i="18" s="1"/>
  <c r="F33" i="19" s="1"/>
  <c r="G70" i="16"/>
  <c r="G90" i="16" s="1"/>
  <c r="G27" i="19" s="1"/>
  <c r="F70" i="16"/>
  <c r="E69" i="16"/>
  <c r="E70" i="16"/>
  <c r="G69" i="16"/>
  <c r="G89" i="16" s="1"/>
  <c r="G26" i="19" s="1"/>
  <c r="F71" i="16"/>
  <c r="G71" i="16"/>
  <c r="G91" i="16" s="1"/>
  <c r="G28" i="19" s="1"/>
  <c r="F69" i="16"/>
  <c r="E71" i="16"/>
  <c r="C39" i="8"/>
  <c r="F65" i="8" s="1"/>
  <c r="F10" i="19" s="1"/>
  <c r="B39" i="8"/>
  <c r="E65" i="8" s="1"/>
  <c r="E10" i="19" s="1"/>
  <c r="D39" i="8"/>
  <c r="G65" i="8" s="1"/>
  <c r="G10" i="19" s="1"/>
  <c r="D54" i="8"/>
  <c r="D55" i="8" s="1"/>
  <c r="C54" i="8"/>
  <c r="C55" i="8" s="1"/>
  <c r="B54" i="8"/>
  <c r="B55" i="8" s="1"/>
  <c r="C40" i="8"/>
  <c r="B40" i="8"/>
  <c r="D40" i="8"/>
  <c r="F77" i="16" l="1"/>
  <c r="F91" i="16"/>
  <c r="F28" i="19" s="1"/>
  <c r="E76" i="16"/>
  <c r="E90" i="16"/>
  <c r="E27" i="19" s="1"/>
  <c r="E77" i="16"/>
  <c r="E91" i="16"/>
  <c r="E28" i="19" s="1"/>
  <c r="E75" i="16"/>
  <c r="E89" i="16"/>
  <c r="E26" i="19" s="1"/>
  <c r="F75" i="16"/>
  <c r="F89" i="16"/>
  <c r="F26" i="19" s="1"/>
  <c r="F76" i="16"/>
  <c r="F90" i="16"/>
  <c r="F27" i="19" s="1"/>
  <c r="G24" i="18"/>
  <c r="G26" i="18" s="1"/>
  <c r="F39" i="18"/>
  <c r="H24" i="18"/>
  <c r="H26" i="18" s="1"/>
  <c r="G39" i="18"/>
  <c r="G32" i="19" s="1"/>
  <c r="F24" i="18"/>
  <c r="F26" i="18" s="1"/>
  <c r="E39" i="18"/>
  <c r="E32" i="19" s="1"/>
  <c r="E40" i="8"/>
  <c r="H65" i="8"/>
  <c r="H10" i="19" s="1"/>
  <c r="G40" i="8"/>
  <c r="J65" i="8"/>
  <c r="J10" i="19" s="1"/>
  <c r="F40" i="8"/>
  <c r="I65" i="8"/>
  <c r="I10" i="19" s="1"/>
  <c r="G76" i="16"/>
  <c r="G77" i="16"/>
  <c r="G75" i="16"/>
  <c r="F39" i="8"/>
  <c r="E39" i="8"/>
  <c r="G39" i="8"/>
  <c r="F32" i="19" l="1"/>
  <c r="C64" i="3"/>
  <c r="C96" i="3" l="1"/>
  <c r="B29" i="3" l="1"/>
  <c r="C100" i="3"/>
  <c r="B30" i="3"/>
  <c r="E27" i="15" s="1"/>
  <c r="E21" i="19" s="1"/>
  <c r="E29" i="15" l="1"/>
  <c r="E23" i="19" s="1"/>
  <c r="H38" i="8"/>
  <c r="D46" i="8" s="1"/>
  <c r="E28" i="15"/>
  <c r="E22" i="19" s="1"/>
  <c r="E31" i="15"/>
  <c r="E26" i="15"/>
  <c r="D39" i="15" s="1"/>
  <c r="M51" i="15" s="1"/>
  <c r="N20" i="19" s="1"/>
  <c r="D33" i="18"/>
  <c r="L40" i="18" s="1"/>
  <c r="M33" i="19" s="1"/>
  <c r="V33" i="19" s="1"/>
  <c r="C33" i="18"/>
  <c r="K40" i="18" s="1"/>
  <c r="L33" i="19" s="1"/>
  <c r="U33" i="19" s="1"/>
  <c r="B81" i="1"/>
  <c r="C96" i="1" s="1"/>
  <c r="D31" i="18"/>
  <c r="L39" i="18" s="1"/>
  <c r="M32" i="19" s="1"/>
  <c r="V32" i="19" s="1"/>
  <c r="B79" i="1"/>
  <c r="C31" i="18"/>
  <c r="K39" i="18" s="1"/>
  <c r="C41" i="13"/>
  <c r="E33" i="18"/>
  <c r="M40" i="18" s="1"/>
  <c r="N33" i="19" s="1"/>
  <c r="W33" i="19" s="1"/>
  <c r="E31" i="18"/>
  <c r="M39" i="18" s="1"/>
  <c r="D41" i="13"/>
  <c r="M49" i="13" s="1"/>
  <c r="C30" i="14"/>
  <c r="D32" i="20"/>
  <c r="D37" i="17"/>
  <c r="M43" i="17" s="1"/>
  <c r="C37" i="17"/>
  <c r="L43" i="17" s="1"/>
  <c r="B37" i="17"/>
  <c r="K43" i="17" s="1"/>
  <c r="B41" i="13"/>
  <c r="K49" i="13" s="1"/>
  <c r="E20" i="19"/>
  <c r="L37" i="5"/>
  <c r="M16" i="19" s="1"/>
  <c r="K37" i="5"/>
  <c r="L16" i="19" s="1"/>
  <c r="M37" i="5"/>
  <c r="N16" i="19" s="1"/>
  <c r="D49" i="8"/>
  <c r="G59" i="8" s="1"/>
  <c r="M65" i="8"/>
  <c r="N10" i="19" s="1"/>
  <c r="W10" i="19" s="1"/>
  <c r="D41" i="15"/>
  <c r="M53" i="15" s="1"/>
  <c r="N22" i="19" s="1"/>
  <c r="B41" i="15"/>
  <c r="K53" i="15" s="1"/>
  <c r="L22" i="19" s="1"/>
  <c r="C40" i="15"/>
  <c r="L52" i="15" s="1"/>
  <c r="M21" i="19" s="1"/>
  <c r="B40" i="15"/>
  <c r="K52" i="15" s="1"/>
  <c r="L21" i="19" s="1"/>
  <c r="D40" i="15"/>
  <c r="M52" i="15" s="1"/>
  <c r="N21" i="19" s="1"/>
  <c r="C42" i="15"/>
  <c r="L54" i="15" s="1"/>
  <c r="M23" i="19" s="1"/>
  <c r="B42" i="15"/>
  <c r="K54" i="15" s="1"/>
  <c r="L23" i="19" s="1"/>
  <c r="D42" i="15"/>
  <c r="M54" i="15" s="1"/>
  <c r="N23" i="19" s="1"/>
  <c r="B39" i="15"/>
  <c r="K51" i="15" s="1"/>
  <c r="L20" i="19" s="1"/>
  <c r="C44" i="15"/>
  <c r="L56" i="15" s="1"/>
  <c r="B44" i="15"/>
  <c r="K56" i="15" s="1"/>
  <c r="D44" i="15"/>
  <c r="M56" i="15" s="1"/>
  <c r="E30" i="15"/>
  <c r="E24" i="19" s="1"/>
  <c r="B23" i="10"/>
  <c r="B22" i="5"/>
  <c r="C82" i="16"/>
  <c r="L90" i="16" s="1"/>
  <c r="M27" i="19" s="1"/>
  <c r="V27" i="19" s="1"/>
  <c r="C81" i="16"/>
  <c r="C83" i="16"/>
  <c r="L91" i="16" s="1"/>
  <c r="M28" i="19" s="1"/>
  <c r="V28" i="19" s="1"/>
  <c r="B31" i="3"/>
  <c r="N27" i="15"/>
  <c r="B46" i="8"/>
  <c r="C46" i="8"/>
  <c r="G46" i="8" s="1"/>
  <c r="N31" i="15"/>
  <c r="L49" i="13"/>
  <c r="N29" i="15"/>
  <c r="I59" i="8"/>
  <c r="H59" i="8"/>
  <c r="J59" i="8"/>
  <c r="B13" i="21" l="1"/>
  <c r="B48" i="21"/>
  <c r="C36" i="21"/>
  <c r="D13" i="21"/>
  <c r="D36" i="21"/>
  <c r="C48" i="21"/>
  <c r="B36" i="21"/>
  <c r="C13" i="21"/>
  <c r="D48" i="21"/>
  <c r="C60" i="21"/>
  <c r="B60" i="21"/>
  <c r="D60" i="21"/>
  <c r="B24" i="21"/>
  <c r="C24" i="21"/>
  <c r="D24" i="21"/>
  <c r="C41" i="15"/>
  <c r="L53" i="15" s="1"/>
  <c r="M22" i="19" s="1"/>
  <c r="Y22" i="19" s="1"/>
  <c r="N28" i="15"/>
  <c r="C39" i="15"/>
  <c r="N26" i="15"/>
  <c r="D91" i="1"/>
  <c r="C91" i="1"/>
  <c r="B91" i="1"/>
  <c r="B97" i="1"/>
  <c r="C97" i="1"/>
  <c r="D97" i="1"/>
  <c r="B96" i="1"/>
  <c r="D96" i="1"/>
  <c r="B30" i="14"/>
  <c r="B33" i="14" s="1"/>
  <c r="D30" i="14"/>
  <c r="D33" i="14" s="1"/>
  <c r="K44" i="17"/>
  <c r="L29" i="19"/>
  <c r="U29" i="19" s="1"/>
  <c r="L44" i="17"/>
  <c r="M29" i="19"/>
  <c r="V29" i="19" s="1"/>
  <c r="M44" i="17"/>
  <c r="N29" i="19"/>
  <c r="W29" i="19" s="1"/>
  <c r="E32" i="20"/>
  <c r="M40" i="20" s="1"/>
  <c r="N14" i="19" s="1"/>
  <c r="C32" i="20"/>
  <c r="K40" i="20" s="1"/>
  <c r="L14" i="19" s="1"/>
  <c r="L40" i="20"/>
  <c r="M14" i="19" s="1"/>
  <c r="K18" i="19"/>
  <c r="K17" i="19"/>
  <c r="K14" i="19"/>
  <c r="B37" i="10"/>
  <c r="K43" i="10" s="1"/>
  <c r="C37" i="10"/>
  <c r="L43" i="10" s="1"/>
  <c r="D37" i="10"/>
  <c r="M43" i="10" s="1"/>
  <c r="B81" i="16"/>
  <c r="K89" i="16" s="1"/>
  <c r="L26" i="19" s="1"/>
  <c r="U26" i="19" s="1"/>
  <c r="L89" i="16"/>
  <c r="M26" i="19" s="1"/>
  <c r="V26" i="19" s="1"/>
  <c r="C33" i="14"/>
  <c r="W21" i="19"/>
  <c r="AF21" i="19" s="1"/>
  <c r="Z21" i="19"/>
  <c r="AC21" i="19"/>
  <c r="L51" i="15"/>
  <c r="M20" i="19" s="1"/>
  <c r="AA20" i="19"/>
  <c r="U20" i="19"/>
  <c r="AD20" i="19" s="1"/>
  <c r="X20" i="19"/>
  <c r="U21" i="19"/>
  <c r="AD21" i="19" s="1"/>
  <c r="AA21" i="19"/>
  <c r="X21" i="19"/>
  <c r="V21" i="19"/>
  <c r="AB21" i="19"/>
  <c r="Y21" i="19"/>
  <c r="AC23" i="19"/>
  <c r="Z23" i="19"/>
  <c r="W23" i="19"/>
  <c r="AF23" i="19" s="1"/>
  <c r="U22" i="19"/>
  <c r="AD22" i="19" s="1"/>
  <c r="X22" i="19"/>
  <c r="AA22" i="19"/>
  <c r="AA23" i="19"/>
  <c r="X23" i="19"/>
  <c r="U23" i="19"/>
  <c r="AD23" i="19" s="1"/>
  <c r="Z22" i="19"/>
  <c r="W22" i="19"/>
  <c r="AF22" i="19" s="1"/>
  <c r="AC22" i="19"/>
  <c r="Z20" i="19"/>
  <c r="W20" i="19"/>
  <c r="AF20" i="19" s="1"/>
  <c r="AC20" i="19"/>
  <c r="V23" i="19"/>
  <c r="AB23" i="19"/>
  <c r="Y23" i="19"/>
  <c r="AB22" i="19"/>
  <c r="U16" i="19"/>
  <c r="AD16" i="19" s="1"/>
  <c r="AA16" i="19"/>
  <c r="W16" i="19"/>
  <c r="AF16" i="19" s="1"/>
  <c r="AC16" i="19"/>
  <c r="V16" i="19"/>
  <c r="AB16" i="19"/>
  <c r="Z16" i="19"/>
  <c r="Y16" i="19"/>
  <c r="L13" i="19"/>
  <c r="K50" i="13"/>
  <c r="X16" i="19"/>
  <c r="M50" i="13"/>
  <c r="N13" i="19"/>
  <c r="N32" i="19"/>
  <c r="W32" i="19" s="1"/>
  <c r="C25" i="18"/>
  <c r="B40" i="18" s="1"/>
  <c r="B33" i="19" s="1"/>
  <c r="C23" i="18"/>
  <c r="B29" i="17"/>
  <c r="B44" i="17" s="1"/>
  <c r="B30" i="19" s="1"/>
  <c r="D28" i="17"/>
  <c r="D43" i="17" s="1"/>
  <c r="D29" i="19" s="1"/>
  <c r="D27" i="17"/>
  <c r="D45" i="17" s="1"/>
  <c r="D31" i="19" s="1"/>
  <c r="C29" i="17"/>
  <c r="C44" i="17" s="1"/>
  <c r="C30" i="19" s="1"/>
  <c r="B27" i="17"/>
  <c r="B45" i="17" s="1"/>
  <c r="B31" i="19" s="1"/>
  <c r="C28" i="17"/>
  <c r="C43" i="17" s="1"/>
  <c r="C29" i="19" s="1"/>
  <c r="C27" i="17"/>
  <c r="C45" i="17" s="1"/>
  <c r="C31" i="19" s="1"/>
  <c r="B28" i="17"/>
  <c r="B43" i="17" s="1"/>
  <c r="B29" i="19" s="1"/>
  <c r="D29" i="17"/>
  <c r="D44" i="17" s="1"/>
  <c r="D30" i="19" s="1"/>
  <c r="K16" i="19"/>
  <c r="E23" i="18"/>
  <c r="D23" i="18"/>
  <c r="E25" i="18"/>
  <c r="D40" i="18" s="1"/>
  <c r="D33" i="19" s="1"/>
  <c r="D25" i="18"/>
  <c r="C40" i="18" s="1"/>
  <c r="C33" i="19" s="1"/>
  <c r="K11" i="19"/>
  <c r="K12" i="19"/>
  <c r="K13" i="19"/>
  <c r="L50" i="13"/>
  <c r="M13" i="19"/>
  <c r="L32" i="19"/>
  <c r="U32" i="19" s="1"/>
  <c r="C49" i="8"/>
  <c r="F59" i="8" s="1"/>
  <c r="L65" i="8"/>
  <c r="M10" i="19" s="1"/>
  <c r="B49" i="8"/>
  <c r="E59" i="8" s="1"/>
  <c r="K65" i="8"/>
  <c r="L10" i="19" s="1"/>
  <c r="U10" i="19" s="1"/>
  <c r="B38" i="8"/>
  <c r="C71" i="16"/>
  <c r="C91" i="16" s="1"/>
  <c r="C28" i="19" s="1"/>
  <c r="AE28" i="19" s="1"/>
  <c r="C69" i="16"/>
  <c r="C89" i="16" s="1"/>
  <c r="C26" i="19" s="1"/>
  <c r="B71" i="16"/>
  <c r="B91" i="16" s="1"/>
  <c r="B28" i="19" s="1"/>
  <c r="D70" i="16"/>
  <c r="D90" i="16" s="1"/>
  <c r="D27" i="19" s="1"/>
  <c r="B69" i="16"/>
  <c r="C70" i="16"/>
  <c r="C90" i="16" s="1"/>
  <c r="C27" i="19" s="1"/>
  <c r="AE27" i="19" s="1"/>
  <c r="B70" i="16"/>
  <c r="B90" i="16" s="1"/>
  <c r="B27" i="19" s="1"/>
  <c r="D71" i="16"/>
  <c r="D91" i="16" s="1"/>
  <c r="D28" i="19" s="1"/>
  <c r="D69" i="16"/>
  <c r="D89" i="16" s="1"/>
  <c r="D26" i="19" s="1"/>
  <c r="D43" i="15"/>
  <c r="M55" i="15" s="1"/>
  <c r="N24" i="19" s="1"/>
  <c r="C43" i="15"/>
  <c r="L55" i="15" s="1"/>
  <c r="M24" i="19" s="1"/>
  <c r="B43" i="15"/>
  <c r="K55" i="15" s="1"/>
  <c r="L24" i="19" s="1"/>
  <c r="B82" i="16"/>
  <c r="D82" i="16"/>
  <c r="D81" i="16"/>
  <c r="B83" i="16"/>
  <c r="D83" i="16"/>
  <c r="I81" i="16"/>
  <c r="I82" i="16"/>
  <c r="D38" i="8"/>
  <c r="C38" i="8"/>
  <c r="B64" i="1"/>
  <c r="N30" i="15"/>
  <c r="I83" i="16"/>
  <c r="D43" i="13"/>
  <c r="C43" i="13"/>
  <c r="B43" i="13"/>
  <c r="AE23" i="19" l="1"/>
  <c r="AG23" i="19"/>
  <c r="AE21" i="19"/>
  <c r="AG21" i="19"/>
  <c r="V22" i="19"/>
  <c r="AE16" i="19"/>
  <c r="AG16" i="19"/>
  <c r="B43" i="21"/>
  <c r="F43" i="21" s="1"/>
  <c r="B55" i="21"/>
  <c r="F55" i="21" s="1"/>
  <c r="B31" i="21"/>
  <c r="F31" i="21" s="1"/>
  <c r="AE29" i="19"/>
  <c r="C31" i="21"/>
  <c r="G31" i="21" s="1"/>
  <c r="C43" i="21"/>
  <c r="G43" i="21" s="1"/>
  <c r="C55" i="21"/>
  <c r="G55" i="21" s="1"/>
  <c r="AA33" i="19"/>
  <c r="B21" i="21"/>
  <c r="F21" i="21" s="1"/>
  <c r="B25" i="21" s="1"/>
  <c r="B10" i="21"/>
  <c r="F10" i="21" s="1"/>
  <c r="AB33" i="19"/>
  <c r="C21" i="21"/>
  <c r="G21" i="21" s="1"/>
  <c r="C25" i="21" s="1"/>
  <c r="C10" i="21"/>
  <c r="G10" i="21" s="1"/>
  <c r="AD29" i="19"/>
  <c r="AE26" i="19"/>
  <c r="AC33" i="19"/>
  <c r="D10" i="21"/>
  <c r="H10" i="21" s="1"/>
  <c r="D21" i="21"/>
  <c r="H21" i="21" s="1"/>
  <c r="D25" i="21" s="1"/>
  <c r="AF33" i="19"/>
  <c r="D55" i="21"/>
  <c r="H55" i="21" s="1"/>
  <c r="D43" i="21"/>
  <c r="H43" i="21" s="1"/>
  <c r="D31" i="21"/>
  <c r="H31" i="21" s="1"/>
  <c r="AD33" i="19"/>
  <c r="AF29" i="19"/>
  <c r="AE33" i="19"/>
  <c r="B71" i="1"/>
  <c r="C70" i="1"/>
  <c r="C71" i="1"/>
  <c r="D70" i="1"/>
  <c r="B70" i="1"/>
  <c r="D71" i="1"/>
  <c r="C99" i="1"/>
  <c r="L111" i="1" s="1"/>
  <c r="M8" i="19" s="1"/>
  <c r="V8" i="19" s="1"/>
  <c r="C100" i="1"/>
  <c r="L112" i="1" s="1"/>
  <c r="M9" i="19" s="1"/>
  <c r="V9" i="19" s="1"/>
  <c r="D99" i="1"/>
  <c r="M111" i="1" s="1"/>
  <c r="N8" i="19" s="1"/>
  <c r="W8" i="19" s="1"/>
  <c r="D100" i="1"/>
  <c r="M112" i="1" s="1"/>
  <c r="N9" i="19" s="1"/>
  <c r="W9" i="19" s="1"/>
  <c r="B99" i="1"/>
  <c r="K111" i="1" s="1"/>
  <c r="L8" i="19" s="1"/>
  <c r="U8" i="19" s="1"/>
  <c r="B100" i="1"/>
  <c r="K112" i="1" s="1"/>
  <c r="L9" i="19" s="1"/>
  <c r="U9" i="19" s="1"/>
  <c r="H81" i="16"/>
  <c r="B34" i="14"/>
  <c r="K41" i="14" s="1"/>
  <c r="L12" i="19" s="1"/>
  <c r="K40" i="14"/>
  <c r="L11" i="19" s="1"/>
  <c r="AB26" i="19"/>
  <c r="Y26" i="19"/>
  <c r="AG26" i="19" s="1"/>
  <c r="K26" i="19"/>
  <c r="K31" i="19"/>
  <c r="D34" i="14"/>
  <c r="M41" i="14" s="1"/>
  <c r="N12" i="19" s="1"/>
  <c r="M40" i="14"/>
  <c r="N11" i="19" s="1"/>
  <c r="H82" i="16"/>
  <c r="K90" i="16"/>
  <c r="L27" i="19" s="1"/>
  <c r="U27" i="19" s="1"/>
  <c r="AD27" i="19" s="1"/>
  <c r="K28" i="19"/>
  <c r="AB28" i="19"/>
  <c r="Y28" i="19"/>
  <c r="AG28" i="19" s="1"/>
  <c r="K29" i="19"/>
  <c r="Y29" i="19"/>
  <c r="AG29" i="19" s="1"/>
  <c r="AB29" i="19"/>
  <c r="M45" i="17"/>
  <c r="N31" i="19" s="1"/>
  <c r="W31" i="19" s="1"/>
  <c r="AF31" i="19" s="1"/>
  <c r="N30" i="19"/>
  <c r="W30" i="19" s="1"/>
  <c r="AF30" i="19" s="1"/>
  <c r="J83" i="16"/>
  <c r="M91" i="16"/>
  <c r="N28" i="19" s="1"/>
  <c r="W28" i="19" s="1"/>
  <c r="AF28" i="19" s="1"/>
  <c r="K27" i="19"/>
  <c r="Y27" i="19"/>
  <c r="AG27" i="19" s="1"/>
  <c r="AB27" i="19"/>
  <c r="H83" i="16"/>
  <c r="K91" i="16"/>
  <c r="L28" i="19" s="1"/>
  <c r="U28" i="19" s="1"/>
  <c r="AD28" i="19" s="1"/>
  <c r="B89" i="16"/>
  <c r="B26" i="19" s="1"/>
  <c r="AD26" i="19" s="1"/>
  <c r="K30" i="19"/>
  <c r="M44" i="10"/>
  <c r="N18" i="19" s="1"/>
  <c r="N17" i="19"/>
  <c r="V14" i="19"/>
  <c r="AB14" i="19"/>
  <c r="Y14" i="19"/>
  <c r="L45" i="17"/>
  <c r="M31" i="19" s="1"/>
  <c r="V31" i="19" s="1"/>
  <c r="M30" i="19"/>
  <c r="V30" i="19" s="1"/>
  <c r="J81" i="16"/>
  <c r="M89" i="16"/>
  <c r="N26" i="19" s="1"/>
  <c r="W26" i="19" s="1"/>
  <c r="AF26" i="19" s="1"/>
  <c r="M17" i="19"/>
  <c r="L44" i="10"/>
  <c r="M18" i="19" s="1"/>
  <c r="U14" i="19"/>
  <c r="AD14" i="19" s="1"/>
  <c r="AA14" i="19"/>
  <c r="X14" i="19"/>
  <c r="J82" i="16"/>
  <c r="M90" i="16"/>
  <c r="N27" i="19" s="1"/>
  <c r="W27" i="19" s="1"/>
  <c r="AF27" i="19" s="1"/>
  <c r="AA29" i="19"/>
  <c r="X29" i="19"/>
  <c r="Z29" i="19"/>
  <c r="AC29" i="19"/>
  <c r="C34" i="14"/>
  <c r="L41" i="14" s="1"/>
  <c r="M12" i="19" s="1"/>
  <c r="L40" i="14"/>
  <c r="M11" i="19" s="1"/>
  <c r="L17" i="19"/>
  <c r="K44" i="10"/>
  <c r="L18" i="19" s="1"/>
  <c r="W14" i="19"/>
  <c r="AF14" i="19" s="1"/>
  <c r="Z14" i="19"/>
  <c r="AC14" i="19"/>
  <c r="K45" i="17"/>
  <c r="L31" i="19" s="1"/>
  <c r="U31" i="19" s="1"/>
  <c r="AD31" i="19" s="1"/>
  <c r="L30" i="19"/>
  <c r="U30" i="19" s="1"/>
  <c r="AD30" i="19" s="1"/>
  <c r="Y20" i="19"/>
  <c r="V20" i="19"/>
  <c r="AB20" i="19"/>
  <c r="AA24" i="19"/>
  <c r="X24" i="19"/>
  <c r="U24" i="19"/>
  <c r="AD24" i="19" s="1"/>
  <c r="AB24" i="19"/>
  <c r="Y24" i="19"/>
  <c r="V24" i="19"/>
  <c r="Z24" i="19"/>
  <c r="AC24" i="19"/>
  <c r="W24" i="19"/>
  <c r="AF24" i="19" s="1"/>
  <c r="V13" i="19"/>
  <c r="AB13" i="19"/>
  <c r="W13" i="19"/>
  <c r="AF13" i="19" s="1"/>
  <c r="AC13" i="19"/>
  <c r="U13" i="19"/>
  <c r="AD13" i="19" s="1"/>
  <c r="AA13" i="19"/>
  <c r="V10" i="19"/>
  <c r="H23" i="18"/>
  <c r="H25" i="18" s="1"/>
  <c r="D39" i="18"/>
  <c r="E27" i="17"/>
  <c r="X33" i="19"/>
  <c r="F29" i="17"/>
  <c r="X13" i="19"/>
  <c r="G29" i="17"/>
  <c r="G27" i="17"/>
  <c r="K33" i="19"/>
  <c r="Y33" i="19"/>
  <c r="AG33" i="19" s="1"/>
  <c r="E28" i="17"/>
  <c r="G28" i="17"/>
  <c r="Y13" i="19"/>
  <c r="Z33" i="19"/>
  <c r="F27" i="17"/>
  <c r="E29" i="17"/>
  <c r="G23" i="18"/>
  <c r="G25" i="18" s="1"/>
  <c r="C39" i="18"/>
  <c r="C32" i="19" s="1"/>
  <c r="F28" i="17"/>
  <c r="F23" i="18"/>
  <c r="F25" i="18" s="1"/>
  <c r="B39" i="18"/>
  <c r="B32" i="19" s="1"/>
  <c r="AD32" i="19" s="1"/>
  <c r="Z13" i="19"/>
  <c r="F38" i="8"/>
  <c r="F41" i="8" s="1"/>
  <c r="C59" i="8" s="1"/>
  <c r="C65" i="8"/>
  <c r="C10" i="19" s="1"/>
  <c r="E38" i="8"/>
  <c r="E41" i="8" s="1"/>
  <c r="B59" i="8" s="1"/>
  <c r="B65" i="8"/>
  <c r="B10" i="19" s="1"/>
  <c r="AD10" i="19" s="1"/>
  <c r="G38" i="8"/>
  <c r="G41" i="8" s="1"/>
  <c r="D59" i="8" s="1"/>
  <c r="D65" i="8"/>
  <c r="D10" i="19" s="1"/>
  <c r="AF10" i="19" s="1"/>
  <c r="C77" i="16"/>
  <c r="D76" i="16"/>
  <c r="D75" i="16"/>
  <c r="B76" i="16"/>
  <c r="C75" i="16"/>
  <c r="D77" i="16"/>
  <c r="B69" i="1"/>
  <c r="B110" i="1" s="1"/>
  <c r="B7" i="19" s="1"/>
  <c r="D69" i="1"/>
  <c r="D110" i="1" s="1"/>
  <c r="D7" i="19" s="1"/>
  <c r="C69" i="1"/>
  <c r="C110" i="1" s="1"/>
  <c r="C7" i="19" s="1"/>
  <c r="B68" i="1"/>
  <c r="B109" i="1" s="1"/>
  <c r="B6" i="19" s="1"/>
  <c r="B33" i="21" s="1"/>
  <c r="F33" i="21" s="1"/>
  <c r="D68" i="1"/>
  <c r="D109" i="1" s="1"/>
  <c r="D6" i="19" s="1"/>
  <c r="D33" i="21" s="1"/>
  <c r="H33" i="21" s="1"/>
  <c r="B75" i="16"/>
  <c r="C76" i="16"/>
  <c r="B77" i="16"/>
  <c r="AE31" i="19" l="1"/>
  <c r="AG31" i="19"/>
  <c r="AE22" i="19"/>
  <c r="AG22" i="19"/>
  <c r="AE14" i="19"/>
  <c r="AG14" i="19"/>
  <c r="AE13" i="19"/>
  <c r="AG13" i="19"/>
  <c r="AE24" i="19"/>
  <c r="AG24" i="19"/>
  <c r="AG10" i="19"/>
  <c r="AE20" i="19"/>
  <c r="AG20" i="19"/>
  <c r="AE30" i="19"/>
  <c r="AG30" i="19"/>
  <c r="AB32" i="19"/>
  <c r="C54" i="21"/>
  <c r="G54" i="21" s="1"/>
  <c r="C61" i="21" s="1"/>
  <c r="C42" i="21"/>
  <c r="G42" i="21" s="1"/>
  <c r="AE32" i="19"/>
  <c r="AE10" i="19"/>
  <c r="D26" i="21"/>
  <c r="D27" i="21"/>
  <c r="B37" i="21"/>
  <c r="C27" i="21"/>
  <c r="C26" i="21"/>
  <c r="AA32" i="19"/>
  <c r="B54" i="21"/>
  <c r="F54" i="21" s="1"/>
  <c r="B61" i="21" s="1"/>
  <c r="B42" i="21"/>
  <c r="F42" i="21" s="1"/>
  <c r="D37" i="21"/>
  <c r="B26" i="21"/>
  <c r="B27" i="21"/>
  <c r="G71" i="1"/>
  <c r="D112" i="1"/>
  <c r="D9" i="19" s="1"/>
  <c r="AF9" i="19" s="1"/>
  <c r="E70" i="1"/>
  <c r="B111" i="1"/>
  <c r="B8" i="19" s="1"/>
  <c r="AD8" i="19" s="1"/>
  <c r="G70" i="1"/>
  <c r="D111" i="1"/>
  <c r="D8" i="19" s="1"/>
  <c r="AF8" i="19" s="1"/>
  <c r="F71" i="1"/>
  <c r="C112" i="1"/>
  <c r="C9" i="19" s="1"/>
  <c r="C111" i="1"/>
  <c r="C8" i="19" s="1"/>
  <c r="AE8" i="19" s="1"/>
  <c r="F70" i="1"/>
  <c r="E71" i="1"/>
  <c r="B112" i="1"/>
  <c r="B9" i="19" s="1"/>
  <c r="AD9" i="19" s="1"/>
  <c r="D102" i="1"/>
  <c r="D101" i="1"/>
  <c r="C102" i="1"/>
  <c r="B101" i="1"/>
  <c r="B102" i="1"/>
  <c r="U11" i="19"/>
  <c r="AD11" i="19" s="1"/>
  <c r="AA11" i="19"/>
  <c r="X11" i="19"/>
  <c r="U12" i="19"/>
  <c r="AD12" i="19" s="1"/>
  <c r="AA12" i="19"/>
  <c r="X12" i="19"/>
  <c r="AA28" i="19"/>
  <c r="X28" i="19"/>
  <c r="Z26" i="19"/>
  <c r="Z30" i="19"/>
  <c r="Y30" i="19"/>
  <c r="AC26" i="19"/>
  <c r="Z27" i="19"/>
  <c r="AB30" i="19"/>
  <c r="AC30" i="19"/>
  <c r="AC31" i="19"/>
  <c r="U18" i="19"/>
  <c r="AD18" i="19" s="1"/>
  <c r="AA18" i="19"/>
  <c r="X18" i="19"/>
  <c r="V18" i="19"/>
  <c r="AB18" i="19"/>
  <c r="Y18" i="19"/>
  <c r="AA27" i="19"/>
  <c r="X30" i="19"/>
  <c r="U17" i="19"/>
  <c r="AD17" i="19" s="1"/>
  <c r="AA17" i="19"/>
  <c r="X17" i="19"/>
  <c r="AB17" i="19"/>
  <c r="V17" i="19"/>
  <c r="Y17" i="19"/>
  <c r="AC27" i="19"/>
  <c r="X27" i="19"/>
  <c r="AA30" i="19"/>
  <c r="V11" i="19"/>
  <c r="Y11" i="19"/>
  <c r="AB11" i="19"/>
  <c r="X31" i="19"/>
  <c r="V12" i="19"/>
  <c r="AB12" i="19"/>
  <c r="Y12" i="19"/>
  <c r="Z31" i="19"/>
  <c r="X26" i="19"/>
  <c r="AA26" i="19"/>
  <c r="AA31" i="19"/>
  <c r="AC28" i="19"/>
  <c r="Z10" i="19"/>
  <c r="W17" i="19"/>
  <c r="AF17" i="19" s="1"/>
  <c r="Z17" i="19"/>
  <c r="AC17" i="19"/>
  <c r="Z11" i="19"/>
  <c r="W11" i="19"/>
  <c r="AF11" i="19" s="1"/>
  <c r="AC11" i="19"/>
  <c r="AB31" i="19"/>
  <c r="W18" i="19"/>
  <c r="AF18" i="19" s="1"/>
  <c r="AC18" i="19"/>
  <c r="Z18" i="19"/>
  <c r="AC12" i="19"/>
  <c r="Z12" i="19"/>
  <c r="W12" i="19"/>
  <c r="AF12" i="19" s="1"/>
  <c r="Y31" i="19"/>
  <c r="Z28" i="19"/>
  <c r="AB10" i="19"/>
  <c r="AA10" i="19"/>
  <c r="AC10" i="19"/>
  <c r="K7" i="19"/>
  <c r="X10" i="19"/>
  <c r="K32" i="19"/>
  <c r="Y32" i="19"/>
  <c r="AG32" i="19" s="1"/>
  <c r="D32" i="19"/>
  <c r="K10" i="19"/>
  <c r="Y10" i="19"/>
  <c r="X32" i="19"/>
  <c r="G69" i="1"/>
  <c r="G68" i="1"/>
  <c r="F69" i="1"/>
  <c r="E69" i="1"/>
  <c r="E68" i="1"/>
  <c r="AE12" i="19" l="1"/>
  <c r="AG12" i="19"/>
  <c r="AE17" i="19"/>
  <c r="AG17" i="19"/>
  <c r="AE18" i="19"/>
  <c r="AG18" i="19"/>
  <c r="AE11" i="19"/>
  <c r="AG11" i="19"/>
  <c r="C7" i="21"/>
  <c r="G7" i="21" s="1"/>
  <c r="C14" i="21" s="1"/>
  <c r="C45" i="21"/>
  <c r="G45" i="21" s="1"/>
  <c r="C49" i="21" s="1"/>
  <c r="D42" i="21"/>
  <c r="H42" i="21" s="1"/>
  <c r="D54" i="21"/>
  <c r="H54" i="21" s="1"/>
  <c r="D61" i="21" s="1"/>
  <c r="AF32" i="19"/>
  <c r="B39" i="21"/>
  <c r="B38" i="21"/>
  <c r="D39" i="21"/>
  <c r="D38" i="21"/>
  <c r="B45" i="21"/>
  <c r="F45" i="21" s="1"/>
  <c r="B49" i="21" s="1"/>
  <c r="B7" i="21"/>
  <c r="F7" i="21" s="1"/>
  <c r="B14" i="21" s="1"/>
  <c r="C63" i="21"/>
  <c r="C62" i="21"/>
  <c r="B63" i="21"/>
  <c r="B62" i="21"/>
  <c r="D45" i="21"/>
  <c r="H45" i="21" s="1"/>
  <c r="D7" i="21"/>
  <c r="H7" i="21" s="1"/>
  <c r="D14" i="21" s="1"/>
  <c r="AE9" i="19"/>
  <c r="AC8" i="19"/>
  <c r="Z8" i="19"/>
  <c r="X8" i="19"/>
  <c r="AA8" i="19"/>
  <c r="AB8" i="19"/>
  <c r="Y8" i="19"/>
  <c r="AG8" i="19" s="1"/>
  <c r="K8" i="19"/>
  <c r="AA9" i="19"/>
  <c r="X9" i="19"/>
  <c r="AB9" i="19"/>
  <c r="K9" i="19"/>
  <c r="Y9" i="19"/>
  <c r="AG9" i="19" s="1"/>
  <c r="Z9" i="19"/>
  <c r="AC9" i="19"/>
  <c r="Z32" i="19"/>
  <c r="AC32" i="19"/>
  <c r="L110" i="1"/>
  <c r="M7" i="19" s="1"/>
  <c r="K109" i="1"/>
  <c r="L109" i="1"/>
  <c r="K110" i="1"/>
  <c r="L7" i="19" s="1"/>
  <c r="M110" i="1"/>
  <c r="N7" i="19" s="1"/>
  <c r="M109" i="1"/>
  <c r="N6" i="19" s="1"/>
  <c r="B51" i="21" l="1"/>
  <c r="B50" i="21"/>
  <c r="B16" i="21"/>
  <c r="B15" i="21"/>
  <c r="D63" i="21"/>
  <c r="D62" i="21"/>
  <c r="D16" i="21"/>
  <c r="D15" i="21"/>
  <c r="D49" i="21"/>
  <c r="C51" i="21"/>
  <c r="C50" i="21"/>
  <c r="C15" i="21"/>
  <c r="C16" i="21"/>
  <c r="W7" i="19"/>
  <c r="AF7" i="19" s="1"/>
  <c r="AC7" i="19"/>
  <c r="W6" i="19"/>
  <c r="AF6" i="19" s="1"/>
  <c r="AC6" i="19"/>
  <c r="U7" i="19"/>
  <c r="AD7" i="19" s="1"/>
  <c r="AA7" i="19"/>
  <c r="V7" i="19"/>
  <c r="AB7" i="19"/>
  <c r="M6" i="19"/>
  <c r="L6" i="19"/>
  <c r="Z6" i="19"/>
  <c r="Z7" i="19"/>
  <c r="X7" i="19"/>
  <c r="Y7" i="19"/>
  <c r="C68" i="1"/>
  <c r="AE7" i="19" l="1"/>
  <c r="AG7" i="19"/>
  <c r="D51" i="21"/>
  <c r="D50" i="21"/>
  <c r="F68" i="1"/>
  <c r="C101" i="1"/>
  <c r="V6" i="19"/>
  <c r="U6" i="19"/>
  <c r="AD6" i="19" s="1"/>
  <c r="AA6" i="19"/>
  <c r="X6" i="19"/>
  <c r="C109" i="1"/>
  <c r="C6" i="19" s="1"/>
  <c r="C33" i="21" s="1"/>
  <c r="G33" i="21" s="1"/>
  <c r="C37" i="21" s="1"/>
  <c r="AG6" i="19" l="1"/>
  <c r="AE6" i="19"/>
  <c r="C39" i="21"/>
  <c r="C38" i="21"/>
  <c r="AB6" i="19"/>
  <c r="K6" i="19"/>
  <c r="Y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tc={2DFF7FF5-102A-4641-999C-577AC4CF655B}</author>
  </authors>
  <commentList>
    <comment ref="F16" authorId="0" shapeId="0" xr:uid="{00000000-0006-0000-0000-000001000000}">
      <text>
        <t>[Threaded comment]
Your version of Excel allows you to read this threaded comment; however, any edits to it will get removed if the file is opened in a newer version of Excel. Learn more: https://go.microsoft.com/fwlink/?linkid=870924
Comment:
    Check title - I can’t edit it
Reply:
    Change ‘these estimates of energy savings’ to ‘these energy savings estimates’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Nicola Terry</author>
  </authors>
  <commentList>
    <comment ref="Z10" authorId="0" shapeId="0" xr:uid="{00000000-0006-0000-0100-000001000000}">
      <text>
        <r>
          <rPr>
            <b/>
            <sz val="10"/>
            <color rgb="FF000000"/>
            <rFont val="Tahoma"/>
            <family val="2"/>
          </rPr>
          <t>CAR:</t>
        </r>
        <r>
          <rPr>
            <sz val="10"/>
            <color rgb="FF000000"/>
            <rFont val="Tahoma"/>
            <family val="2"/>
          </rPr>
          <t xml:space="preserve">
</t>
        </r>
        <r>
          <rPr>
            <sz val="10"/>
            <color rgb="FF000000"/>
            <rFont val="Tahoma"/>
            <family val="2"/>
          </rPr>
          <t>Standard rate electricity is used for this cell as the measure does not apply to storage radiators.</t>
        </r>
      </text>
    </comment>
    <comment ref="K20" authorId="0" shapeId="0" xr:uid="{00000000-0006-0000-0100-000002000000}">
      <text>
        <r>
          <rPr>
            <b/>
            <sz val="10"/>
            <color rgb="FF000000"/>
            <rFont val="Tahoma"/>
            <family val="2"/>
          </rPr>
          <t>Nicola Terry:</t>
        </r>
        <r>
          <rPr>
            <sz val="10"/>
            <color rgb="FF000000"/>
            <rFont val="Tahoma"/>
            <family val="2"/>
          </rPr>
          <t xml:space="preserve">
</t>
        </r>
        <r>
          <rPr>
            <sz val="10"/>
            <color rgb="FF000000"/>
            <rFont val="Tahoma"/>
            <family val="2"/>
          </rPr>
          <t>Homes with less loft insulation have lower bills so these figures are based on the typical savings as a proportion of the actual bill rather than the mean bill (from the CHM).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<sst xmlns="http://schemas.openxmlformats.org/spreadsheetml/2006/main" count="2013" uniqueCount="960">
  <si>
    <t>References</t>
  </si>
  <si>
    <t>ECUK</t>
  </si>
  <si>
    <t>https://www.gov.uk/government/statistics/energy-consumption-in-the-uk-2021</t>
  </si>
  <si>
    <t>ONSFamilies</t>
  </si>
  <si>
    <t>Proportion of homes with gas heating</t>
  </si>
  <si>
    <t>https://assets.publishing.service.gov.uk/government/uploads/system/uploads/attachment_data/file/1055629/Energy_Report_2019-20.pdf</t>
  </si>
  <si>
    <t>Energy consumption in the UK</t>
  </si>
  <si>
    <t>English housing survey</t>
  </si>
  <si>
    <t>kWh/toe</t>
  </si>
  <si>
    <t>HHIC</t>
  </si>
  <si>
    <t>https://www.hhic.org.uk/uploads/6165409B9D4C9.pdf</t>
  </si>
  <si>
    <t>https://files.bregroup.com/bretrust/The-Housing-Stock-of-the-United-Kingdom_Report_BRE-Trust.pdf</t>
  </si>
  <si>
    <t>BREStock</t>
  </si>
  <si>
    <t>The Housing Stock of the United Kingdom</t>
  </si>
  <si>
    <t>ktoe</t>
  </si>
  <si>
    <t>p17</t>
  </si>
  <si>
    <t>p41</t>
  </si>
  <si>
    <t>CIBSE</t>
  </si>
  <si>
    <t>https://www.cibsejournal.com/cpd/modules/2019-07-gas/</t>
  </si>
  <si>
    <t>Module 149: Effective control for condensing gas boiler systems</t>
  </si>
  <si>
    <t>HeatGeekEff</t>
  </si>
  <si>
    <t>https://www.heatgeek.com/benefits-of-low-temprature-heating-systems/</t>
  </si>
  <si>
    <t>Benefits of low-temperature heating systems</t>
  </si>
  <si>
    <t>SAP10</t>
  </si>
  <si>
    <t>winter</t>
  </si>
  <si>
    <t>summer</t>
  </si>
  <si>
    <t>mean space heating</t>
  </si>
  <si>
    <t>Reference</t>
  </si>
  <si>
    <t>Reference details</t>
  </si>
  <si>
    <t>commercial condensing boilers</t>
  </si>
  <si>
    <t>Discussion</t>
  </si>
  <si>
    <t>Heat Geek</t>
  </si>
  <si>
    <t>Space heating demand</t>
  </si>
  <si>
    <t>General assumptions</t>
  </si>
  <si>
    <t>kg CO2e/kwh</t>
  </si>
  <si>
    <t>GHGConv</t>
  </si>
  <si>
    <t>UK Government GHG Conversion Factors for Company Reporting</t>
  </si>
  <si>
    <t>Natural gas for space heating per household</t>
  </si>
  <si>
    <t>kWh</t>
  </si>
  <si>
    <t>Price of gas</t>
  </si>
  <si>
    <t>p/kWh</t>
  </si>
  <si>
    <t>Low</t>
  </si>
  <si>
    <t>Medium</t>
  </si>
  <si>
    <t>High</t>
  </si>
  <si>
    <t>t CO2e/GWh</t>
  </si>
  <si>
    <t>GWh/year</t>
  </si>
  <si>
    <t>kt/year</t>
  </si>
  <si>
    <t>Potential uptake</t>
  </si>
  <si>
    <t>Proportion of homes with suitable radiators for 60°C</t>
  </si>
  <si>
    <t>Proportion of homes that have suitable pipework for 60°C</t>
  </si>
  <si>
    <t>https://www.ons.gov.uk/peoplepopulationandcommunity/birthsdeathsandmarriages/families/bulletins/familiesandhouseholds/2020</t>
  </si>
  <si>
    <t>Families and households in the UK: 2020</t>
  </si>
  <si>
    <t>EHSenergy</t>
  </si>
  <si>
    <t>Proportion of homes with gas combi boilers</t>
  </si>
  <si>
    <t>kWh per ktoe</t>
  </si>
  <si>
    <t>Historic England</t>
  </si>
  <si>
    <t>Single glazing</t>
  </si>
  <si>
    <t>+ curtains</t>
  </si>
  <si>
    <t>Table 1  black window</t>
  </si>
  <si>
    <t>Table 2</t>
  </si>
  <si>
    <t>+ honeycomb blind in reveal</t>
  </si>
  <si>
    <t>Impact on double glazing</t>
  </si>
  <si>
    <t>U-value</t>
  </si>
  <si>
    <t>HistoricEngland</t>
  </si>
  <si>
    <t>Improving the Thermal Performance of Traditional Windows: Metal-framed Windows</t>
  </si>
  <si>
    <t>https://historicengland.org.uk/research/results/reports/15-2017</t>
  </si>
  <si>
    <t xml:space="preserve">http://dx.doi.org/10.1007/s12053-017-9529-0 </t>
  </si>
  <si>
    <t>The thermal performance of window coverings in a whole house test facility with single-glazed sash windows</t>
  </si>
  <si>
    <t>Living room</t>
  </si>
  <si>
    <t>Kitchen</t>
  </si>
  <si>
    <t>Bedroom 1</t>
  </si>
  <si>
    <t>Bedroom 2</t>
  </si>
  <si>
    <t>Bathroom</t>
  </si>
  <si>
    <t>Lined curtain drapes below sill</t>
  </si>
  <si>
    <t>Roller blind bottom on windowsill (above rad)</t>
  </si>
  <si>
    <t>Savings (%)</t>
  </si>
  <si>
    <t>+ honeycomb blind outside reveal</t>
  </si>
  <si>
    <t>Resistance</t>
  </si>
  <si>
    <t>Heavy curtains mounted outside the reveal</t>
  </si>
  <si>
    <t>Single glazing U-value</t>
  </si>
  <si>
    <t>%age savings</t>
  </si>
  <si>
    <t>Closing curtains at night</t>
  </si>
  <si>
    <t>Proportion of windows where curtains are not closed</t>
  </si>
  <si>
    <t>Natural gas bill per household</t>
  </si>
  <si>
    <t>kWh/year</t>
  </si>
  <si>
    <t>£/year</t>
  </si>
  <si>
    <t>Carbon savings over all households</t>
  </si>
  <si>
    <t>MWT</t>
  </si>
  <si>
    <t>ONSwellbeing</t>
  </si>
  <si>
    <t>https://www.ons.gov.uk/peoplepopulationandcommunity/wellbeing/bulletins/publicopinionsandsocialtrendsgreatbritain/22juneto3july2022</t>
  </si>
  <si>
    <t>Public opinions and social trends, Great Britain: 22 June to 3 July 2022</t>
  </si>
  <si>
    <t>BEISDistrib</t>
  </si>
  <si>
    <t>Domestic Heat Distribution Systems Evidence Gathering</t>
  </si>
  <si>
    <t>https://www.gov.uk/government/publications/heat-storage-and-distribution-systems-hds</t>
  </si>
  <si>
    <t>Flow</t>
  </si>
  <si>
    <t>Mean winter (Figure 3)</t>
  </si>
  <si>
    <t>Proportion of homes that have already turned down the flow temperature</t>
  </si>
  <si>
    <t>ONSWellbeing</t>
  </si>
  <si>
    <t>Bill savings per participating household £/year</t>
  </si>
  <si>
    <t>Stock level carbon savings kt/year</t>
  </si>
  <si>
    <t>Activity</t>
  </si>
  <si>
    <t>Reducing the temperature of the water fed to radiators</t>
  </si>
  <si>
    <t>Table 3</t>
  </si>
  <si>
    <t>Most Likely</t>
  </si>
  <si>
    <t>Microbore pipework in 4-5 million homes</t>
  </si>
  <si>
    <t>Proportion of  boilers with microbore pipes</t>
  </si>
  <si>
    <t>Veissman</t>
  </si>
  <si>
    <t>https://www.viessmann.co.uk/heating-advice/what-temperature-to-set-condensing-boiler</t>
  </si>
  <si>
    <t>What temperature should a condensing boiler be set at?</t>
  </si>
  <si>
    <t>Proportion of homes with suitable radiators for 55°C</t>
  </si>
  <si>
    <t>Proportion of homes that have suitable pipework for 55°C</t>
  </si>
  <si>
    <t>Return</t>
  </si>
  <si>
    <t>Cibse reference chart</t>
  </si>
  <si>
    <t>HHIC with weather compensation</t>
  </si>
  <si>
    <t>Most likely</t>
  </si>
  <si>
    <t>Overall proportion of homes suitable for Flow at 60°C</t>
  </si>
  <si>
    <t>Total GWh gas saved 75 to 60  GWh/year</t>
  </si>
  <si>
    <t>Total GWh gas saved 75 to 55  GWh/year</t>
  </si>
  <si>
    <t>Overall proportion of homes suitable for flow at 55°C</t>
  </si>
  <si>
    <t xml:space="preserve">Condensing boilers are more efficient when the return temperature (inlet to the boiler) is at 54°C or below. The lower the return temperature, the more latent heat from condensing the flue gases is retained. We estimate the impact of reducing the flow/return temperatures from 75/55°C to 60/45°C or 55/40°C. </t>
  </si>
  <si>
    <t>Claimed heating efficiency savings Flow at 75 to 60°C</t>
  </si>
  <si>
    <t>Claimed heating efficiency savings Flow at 75 to 55°C</t>
  </si>
  <si>
    <t>Flow/return/MWT</t>
  </si>
  <si>
    <t>80/60/70°C</t>
  </si>
  <si>
    <t>75/55/65°C (interpolated where necessary)</t>
  </si>
  <si>
    <t>60/45/53°C (interpolated where necessary)</t>
  </si>
  <si>
    <t>57/43/50°C standard controls - intepolated based on ratio at MWT 70</t>
  </si>
  <si>
    <t>55/40/48°C (interpolated where necessary)</t>
  </si>
  <si>
    <t>The savings calculated above are for space heating only. This section estimates total space heating demand for all homes and the average space heating demand for a single dwelling.</t>
  </si>
  <si>
    <r>
      <t>The space heating demand for homes that can adopt this measure may be less than the average overall because this measure is primarily for combi boilers, and combi boilers are more often installed in smaller homes. (English Housing Survey suggests mean floor area for dwellings with combis is 85m</t>
    </r>
    <r>
      <rPr>
        <vertAlign val="superscript"/>
        <sz val="12"/>
        <color theme="1"/>
        <rFont val="Calibri"/>
        <family val="2"/>
        <scheme val="minor"/>
      </rPr>
      <t>2</t>
    </r>
    <r>
      <rPr>
        <sz val="12"/>
        <color theme="1"/>
        <rFont val="Calibri"/>
        <family val="2"/>
        <scheme val="minor"/>
      </rPr>
      <t>; system boilers 111m</t>
    </r>
    <r>
      <rPr>
        <vertAlign val="superscript"/>
        <sz val="12"/>
        <color theme="1"/>
        <rFont val="Calibri"/>
        <family val="2"/>
        <scheme val="minor"/>
      </rPr>
      <t>2</t>
    </r>
    <r>
      <rPr>
        <sz val="12"/>
        <color theme="1"/>
        <rFont val="Calibri"/>
        <family val="2"/>
        <scheme val="minor"/>
      </rPr>
      <t>.) We have not adjusted for this.</t>
    </r>
  </si>
  <si>
    <t xml:space="preserve">Dwellings with gas combi boilers can adopt this measure if (a) the heating  currently has a flow temperature of 75°C, (b) the controls allow them to make the change, and (c) the radiators and other parts of the heating system are suitable for the dwelling to achieve its temperature set point. Some homes have microbore pipes which may present resistance to the higher flow rate needed (70% faster flow). Equally, some homes may have small radiators where the lower temperature is not sufficient to heat the home. </t>
  </si>
  <si>
    <t>Proportion of homes that have flow at 75°C (or similar)</t>
  </si>
  <si>
    <t>Total domestic sector gas use (UK)</t>
  </si>
  <si>
    <t>CAR expert opinion</t>
  </si>
  <si>
    <t>Proportion of windows where curtains are currently left open, in homes which do not already close curtains for all windows.</t>
  </si>
  <si>
    <t>Proportion of homes where some windows do not have closed curtains at night</t>
  </si>
  <si>
    <t>Literature review</t>
  </si>
  <si>
    <t>Resistance of covering</t>
  </si>
  <si>
    <t>Curtain tucked behind radiator</t>
  </si>
  <si>
    <t>Roller blind, bottom on window (no rad)</t>
  </si>
  <si>
    <t>Initial U-value</t>
  </si>
  <si>
    <t>Final U-value</t>
  </si>
  <si>
    <t>R-value</t>
  </si>
  <si>
    <t>Secondary glazing</t>
  </si>
  <si>
    <t>Lined curtains</t>
  </si>
  <si>
    <t>Salford test on sash windows with single glazing</t>
  </si>
  <si>
    <t>Curtains - thermal resistance</t>
  </si>
  <si>
    <t>Add curtains</t>
  </si>
  <si>
    <t>Double glazing U-value</t>
  </si>
  <si>
    <t>kWh per tonne of oil equivalent (toe)</t>
  </si>
  <si>
    <t>Gas GHG emissions (gross)</t>
  </si>
  <si>
    <t>Date</t>
  </si>
  <si>
    <t>Title</t>
  </si>
  <si>
    <t>Hyperlink (where available)</t>
  </si>
  <si>
    <t>https://www.gov.uk/government/collections/government-conversion-factors-for-company-reporting</t>
  </si>
  <si>
    <t>Heat savings</t>
  </si>
  <si>
    <t>Resulting U-value</t>
  </si>
  <si>
    <t>Changes</t>
  </si>
  <si>
    <t>v7</t>
  </si>
  <si>
    <t>Reduce heating hours</t>
  </si>
  <si>
    <t>median</t>
  </si>
  <si>
    <t>Price of electricity (standard)</t>
  </si>
  <si>
    <t>Proportion of homes that can reduce heating hours</t>
  </si>
  <si>
    <t>Total domestic  electricity for space heating</t>
  </si>
  <si>
    <t>Total domestic  electricity for water heating</t>
  </si>
  <si>
    <t>Total domestic electricity for heating (UK)</t>
  </si>
  <si>
    <t>Electricity heating bill per household</t>
  </si>
  <si>
    <t>Moved asumptions about gas bill to assumptions sheet from the closing curtains sheet</t>
  </si>
  <si>
    <t>Attempt at similar calculations for electric homes</t>
  </si>
  <si>
    <t>Added reducing heating hours</t>
  </si>
  <si>
    <t>For homes heated with gas</t>
  </si>
  <si>
    <t>Bill savings per household (proportion)</t>
  </si>
  <si>
    <t>Moving furniture away from radiators</t>
  </si>
  <si>
    <t>Proportion of radiators impacted per house</t>
  </si>
  <si>
    <t>Reduction in capacity</t>
  </si>
  <si>
    <t>lower quartile</t>
  </si>
  <si>
    <t>upper quartile</t>
  </si>
  <si>
    <t>Modelling with 12 CODE archetypes</t>
  </si>
  <si>
    <t>Overall impact on radiator capacity in affected homes</t>
  </si>
  <si>
    <t>weighted mean</t>
  </si>
  <si>
    <t>Impact of furniture on radiator heating capacity</t>
  </si>
  <si>
    <t>Added  moving furniture</t>
  </si>
  <si>
    <t>GHG emissions savings  (in homes using gas heating)</t>
  </si>
  <si>
    <t>Energy model</t>
  </si>
  <si>
    <t>Housing data</t>
  </si>
  <si>
    <t>12 archetypes of typical homes derived from English Housing Survey data, with weights derived from the EHS.</t>
  </si>
  <si>
    <t>Weather</t>
  </si>
  <si>
    <t>Advantages</t>
  </si>
  <si>
    <t>Disadvantages</t>
  </si>
  <si>
    <t>Simple energy model with heuristics for the effects of  complex physics or timing/thermal mass effects.</t>
  </si>
  <si>
    <t>Can simulate aspects of building physics that are not represented in the CHM.</t>
  </si>
  <si>
    <t>Impact of furniture on gas use in affected homes, for gas heated homes - from the modelling above</t>
  </si>
  <si>
    <t>Treating windows with film</t>
  </si>
  <si>
    <t>low</t>
  </si>
  <si>
    <t>medium</t>
  </si>
  <si>
    <t>high</t>
  </si>
  <si>
    <t>Population of England</t>
  </si>
  <si>
    <t>Number of dwellings in the UK</t>
  </si>
  <si>
    <t>Population of the UK (2020)</t>
  </si>
  <si>
    <t>https://www.ons.gov.uk/peoplepopulationandcommunity/populationandmigration/populationestimates/datasets/populationestimatesforukenglandandwalesscotlandandnorthernireland</t>
  </si>
  <si>
    <t>Wales</t>
  </si>
  <si>
    <t>England</t>
  </si>
  <si>
    <t>Storage heaters</t>
  </si>
  <si>
    <t>Other electric</t>
  </si>
  <si>
    <t>https://www.gov.uk/government/statistics/english-housing-survey-2020-to-2021-energy</t>
  </si>
  <si>
    <t>EHSEnergy2020</t>
  </si>
  <si>
    <t>English Housing Survey energy report</t>
  </si>
  <si>
    <t>SHCS</t>
  </si>
  <si>
    <t>Population</t>
  </si>
  <si>
    <t>https://gov.wales/sites/default/files/statistics-and-research/2019-10/welsh-housing-conditions-survey-energy-efficiency-dwellings-april-2017-march-2018-795.pdf</t>
  </si>
  <si>
    <t>Dwellings</t>
  </si>
  <si>
    <t>ONSPop</t>
  </si>
  <si>
    <t>Population of Wales</t>
  </si>
  <si>
    <t>Estimates of the population for the UK, England and Wales, Scotland and Northern Ireland</t>
  </si>
  <si>
    <t>WHCS</t>
  </si>
  <si>
    <t>Welsh Housing Conditions Survey 2017-18: Energy Efficiency of Dwellings</t>
  </si>
  <si>
    <t>Population of N, Ireland</t>
  </si>
  <si>
    <t>IHCS</t>
  </si>
  <si>
    <t>This is 2016 latest data</t>
  </si>
  <si>
    <t>Total gas</t>
  </si>
  <si>
    <t>Total storage heaters</t>
  </si>
  <si>
    <t>Total other electric</t>
  </si>
  <si>
    <t>Mains gas heating</t>
  </si>
  <si>
    <t xml:space="preserve">Scotland </t>
  </si>
  <si>
    <t>N. Ireland</t>
  </si>
  <si>
    <t>Assume same proportion of storage heaters as in England</t>
  </si>
  <si>
    <t>Number of homes with storage heaters</t>
  </si>
  <si>
    <t>Number of homes with other electric heating</t>
  </si>
  <si>
    <t>Oil heating</t>
  </si>
  <si>
    <t>Total oil</t>
  </si>
  <si>
    <t>CHM</t>
  </si>
  <si>
    <t>Domestic electriciy for heating where electricity is the main fuel</t>
  </si>
  <si>
    <t>cf 6890 from the CHM</t>
  </si>
  <si>
    <t>Estimated from modelling the CHM - which is for England only. Storage heater homes use slightly more: 6980 compared to 6630 for other electric heating</t>
  </si>
  <si>
    <t>Storage heater homes use slightly more: 6980 compared to 6630 for other electric heating</t>
  </si>
  <si>
    <t>Price of electricity (dual rate bill)</t>
  </si>
  <si>
    <t>Total</t>
  </si>
  <si>
    <t>North West</t>
  </si>
  <si>
    <t>Northern</t>
  </si>
  <si>
    <t>Yorkshire</t>
  </si>
  <si>
    <t>London</t>
  </si>
  <si>
    <t>Eastern</t>
  </si>
  <si>
    <t>East Midlands</t>
  </si>
  <si>
    <t>Midlands</t>
  </si>
  <si>
    <t>S Wales</t>
  </si>
  <si>
    <t>For homes heated with electricity (not storage heaters)</t>
  </si>
  <si>
    <t>GHG emissions savings (in homes with electric heating)</t>
  </si>
  <si>
    <t>Total Numbers of dwellings</t>
  </si>
  <si>
    <t>Domestic electricity for heating: storage heaters</t>
  </si>
  <si>
    <t>Domestic electricity for heating: other electric heaters</t>
  </si>
  <si>
    <t>GHG emissions</t>
  </si>
  <si>
    <t>Energy prices</t>
  </si>
  <si>
    <t>Demographics</t>
  </si>
  <si>
    <t>Electricity GHG emission</t>
  </si>
  <si>
    <t>Modifying household factors</t>
  </si>
  <si>
    <t>Gas heating</t>
  </si>
  <si>
    <t>Electric heating</t>
  </si>
  <si>
    <t>Number of homes with gas heating</t>
  </si>
  <si>
    <t>GHG emissions savings (in homes with oil heating)</t>
  </si>
  <si>
    <t>Number of homes with oil heating</t>
  </si>
  <si>
    <t>Price of oil</t>
  </si>
  <si>
    <t>p/litre</t>
  </si>
  <si>
    <t>BoilerJuice</t>
  </si>
  <si>
    <t>https://www.boilerjuice.com/heating-oil-prices/</t>
  </si>
  <si>
    <t>UK Average Home Heating Oil Prices</t>
  </si>
  <si>
    <t>Oil homes</t>
  </si>
  <si>
    <t>Total domestic sector oil use (UK)</t>
  </si>
  <si>
    <t>For homes heated with oil</t>
  </si>
  <si>
    <t>Added windows treatments</t>
  </si>
  <si>
    <t>From the CHM (which has more homes for comparison) the savings are greater in homes with high heat loss per unit floor area (i.e. poorly-insulated homes). However, savings are low in homes with storage heaters, primarily because these have low responsiveness and changing the hours of heating does not change the temperature very much. These effects are shown in the chart (right), based on data from the CHM modelling.</t>
  </si>
  <si>
    <t>Bill savings per household (kWh or £)</t>
  </si>
  <si>
    <t>Parameters derived from 12,300 homes in different regions of the UK from the Englush Housing Survey (2018/2019 data), weighted as in the EHS.</t>
  </si>
  <si>
    <t>Some of these estimates rely on energy use models. We have used two such models:</t>
  </si>
  <si>
    <t>Weather is typical for each region.</t>
  </si>
  <si>
    <t>Large stock dataset allows for good estimates of the range of outcomes.</t>
  </si>
  <si>
    <t>Derived from SAP with some adjustments (in particular for thermostat settings) to make it representative of actual energy use. Static monthly calculations.</t>
  </si>
  <si>
    <t>Small set of 12 representative archetypes.</t>
  </si>
  <si>
    <t>Modelling notes</t>
  </si>
  <si>
    <t>Window film is a form of temporary secondary glazing. It has two effects: reducing draughts and reducing conductive heat loss through the glass. Research suggests savings of 25% on heat loss through the centre of the pane. However, there are very few studies on this.</t>
  </si>
  <si>
    <r>
      <t>kWh/m</t>
    </r>
    <r>
      <rPr>
        <vertAlign val="superscript"/>
        <sz val="12"/>
        <color theme="1"/>
        <rFont val="Calibri"/>
        <family val="2"/>
        <scheme val="minor"/>
      </rPr>
      <t>2</t>
    </r>
    <r>
      <rPr>
        <sz val="12"/>
        <color theme="1"/>
        <rFont val="Calibri"/>
        <family val="2"/>
        <scheme val="minor"/>
      </rPr>
      <t>/year</t>
    </r>
  </si>
  <si>
    <r>
      <t>m</t>
    </r>
    <r>
      <rPr>
        <vertAlign val="superscript"/>
        <sz val="12"/>
        <color theme="1"/>
        <rFont val="Calibri"/>
        <family val="2"/>
        <scheme val="minor"/>
      </rPr>
      <t>2</t>
    </r>
  </si>
  <si>
    <t>Proportion of windows that are single glazed</t>
  </si>
  <si>
    <t>Proportion of electricty usage for heating that is in homes with ekectricity as the main heating (rather than electricity for supplementary heating)</t>
  </si>
  <si>
    <t>Oil GHG emissions (gross)</t>
  </si>
  <si>
    <t>There are two other potential effects from the clearing obstructions from the radiators. These are indirect and require additional behaviours. It is possible that the household has turned up the thermostat in an attempt to offset the problem with heating. If this is the case, they could turn down the thermostat a little, which will save energy. In addition, it is possible that improvement in radiator efficiency could enable turning down the flow temperature, with improvement in boiler efficiency. We have not included these effects in the modelling here.</t>
  </si>
  <si>
    <t>According to CIBSE a radiator in a cabinet with a grill at the front has 30% less heating emissions. This is our medium case - perhaps equivalent to a radiator half blocked by armchairs. The high case could be a radiator largely obstructed by a sofa and the low case, a radiator with a table in front.</t>
  </si>
  <si>
    <t>v8</t>
  </si>
  <si>
    <t>New sections combi keep hot</t>
  </si>
  <si>
    <t>Name fixes on the assumptions sheet - numberDwellingsUK is not the same as numberDwellings</t>
  </si>
  <si>
    <t>Formula fix in reducing radiator temp numberDwellings-&gt;numberDwellingsUK</t>
  </si>
  <si>
    <t>Fix on summary sheet for oil/reducing heating hours £</t>
  </si>
  <si>
    <t>Activities</t>
  </si>
  <si>
    <t>status</t>
  </si>
  <si>
    <t xml:space="preserve">Reducing radiator temp </t>
  </si>
  <si>
    <t>Reducing DHW temperature</t>
  </si>
  <si>
    <t>draft</t>
  </si>
  <si>
    <t>Closing curtains</t>
  </si>
  <si>
    <t>reducing heating hours</t>
  </si>
  <si>
    <t>Turning off combi keep hot</t>
  </si>
  <si>
    <t>Window treatments</t>
  </si>
  <si>
    <t>Foil</t>
  </si>
  <si>
    <t>-</t>
  </si>
  <si>
    <t>TRVs</t>
  </si>
  <si>
    <t>Smart thermostats</t>
  </si>
  <si>
    <t>DIY loft insulation</t>
  </si>
  <si>
    <t>UK Totals</t>
  </si>
  <si>
    <t>Calculating tariffs for Gas and electricitiy based on OFGEM price caps</t>
  </si>
  <si>
    <t>OFGEMCaps</t>
  </si>
  <si>
    <t>Gas</t>
  </si>
  <si>
    <t>Average</t>
  </si>
  <si>
    <t>Nil bill</t>
  </si>
  <si>
    <t>Electricity - multi-register rate (4200 kWh/year)</t>
  </si>
  <si>
    <t>Electricity - standard  (3100 kWh/year)</t>
  </si>
  <si>
    <t>Turn down the thermostat on your hot water cylinder</t>
  </si>
  <si>
    <t>Initial cylinder temperature</t>
  </si>
  <si>
    <t>Final cylinder temperature</t>
  </si>
  <si>
    <t>CHM modelling - gas and oil boilers are similar</t>
  </si>
  <si>
    <t>CHM calculations reference temperature</t>
  </si>
  <si>
    <t>Initial losses</t>
  </si>
  <si>
    <t>Savings</t>
  </si>
  <si>
    <t>Gas boiler efficiency for hot water - high efficiency means low savings</t>
  </si>
  <si>
    <t>Gas boiler efficiency for space heating</t>
  </si>
  <si>
    <t>Proportion of losses that are useful gains</t>
  </si>
  <si>
    <t>Net gas savings</t>
  </si>
  <si>
    <t>Net oil savings</t>
  </si>
  <si>
    <t>CAR expert opinion - based on the proportion of the day when it is left on</t>
  </si>
  <si>
    <t>kWh/year (gas)</t>
  </si>
  <si>
    <t>Proportion of preheat losses useful for heat gains</t>
  </si>
  <si>
    <t>Combi boiler effiency for space heating</t>
  </si>
  <si>
    <t>Household savings £</t>
  </si>
  <si>
    <t>Turning off preheat completely</t>
  </si>
  <si>
    <t>Proportion of combi boilers with preheat</t>
  </si>
  <si>
    <t>Proportion of combi boilers with preheat that can be set to a timer</t>
  </si>
  <si>
    <t>Proportion of all housesholds that could turn preheat off</t>
  </si>
  <si>
    <t>Potential Uptake</t>
  </si>
  <si>
    <t>2018 (?)</t>
  </si>
  <si>
    <t>https://discovery.ucl.ac.uk/id/eprint/10065409/1/GJB_Thesis_postViva_v2_submission.pdf</t>
  </si>
  <si>
    <t>HHBCombi</t>
  </si>
  <si>
    <t>How to turn OFF the pre-heat on your Ideal combi boiler to save 5-10%</t>
  </si>
  <si>
    <t>https://www.theheatinghub.co.uk/articles/Ideal-hot-water-preheat</t>
  </si>
  <si>
    <t>2021 (?)</t>
  </si>
  <si>
    <t>Heating up to net zero</t>
  </si>
  <si>
    <t>Northern Ireland House Condition Survey 2016</t>
  </si>
  <si>
    <t>https://www.nihe.gov.uk/Working-With-Us/Research/House-Condition-Survey</t>
  </si>
  <si>
    <t>Default tariff cap level: 1 April 2022 to 30 September 2022</t>
  </si>
  <si>
    <t>https://www.ofgem.gov.uk/publications/default-tariff-cap-level-1-april-2022-30-september-2022</t>
  </si>
  <si>
    <t>Installing or topping up loft insulation</t>
  </si>
  <si>
    <t>Electric</t>
  </si>
  <si>
    <t>Number of homes</t>
  </si>
  <si>
    <t>100-150 to 300mm</t>
  </si>
  <si>
    <t>150-200 to 300mm</t>
  </si>
  <si>
    <t>200-250 to 300mm</t>
  </si>
  <si>
    <t>Oil</t>
  </si>
  <si>
    <t>Electricity</t>
  </si>
  <si>
    <t>Summary</t>
  </si>
  <si>
    <t>Comfort improvement</t>
  </si>
  <si>
    <t>Proportion of homes</t>
  </si>
  <si>
    <t>Proportion of homes with storage heaters</t>
  </si>
  <si>
    <t>Proportion of homes with other electric heaters</t>
  </si>
  <si>
    <t>Proportion of homes with oil heating</t>
  </si>
  <si>
    <t>Mean for all homes</t>
  </si>
  <si>
    <t>Most people do not need heat when they are away from home or overnight. Heating only when heating is required saves energy (except when using a heat pump). Some households could reduce heating hours by, for example, turning the heating off earlier at night time, or earlier during the day when they go to work.</t>
  </si>
  <si>
    <t>Proportion of homes heated with oil</t>
  </si>
  <si>
    <t>Proportion of all homes heated with gas</t>
  </si>
  <si>
    <t>°C</t>
  </si>
  <si>
    <t>SAP10.2</t>
  </si>
  <si>
    <t>The Government’s Standard Assessment Procedure for Energy Rating of Dwellings</t>
  </si>
  <si>
    <t>Oil boiler efficiency (space heating)</t>
  </si>
  <si>
    <t>Oil boiler efficiency (water heating)</t>
  </si>
  <si>
    <t>Additional oil use for space heating</t>
  </si>
  <si>
    <r>
      <t>The impact of draught fixing is minor, averaged over the stock. However, the effect of reducing heat loss through windows is considerable, because windows lose a lot of heat: up to 10 times as much per m</t>
    </r>
    <r>
      <rPr>
        <vertAlign val="superscript"/>
        <sz val="12"/>
        <color theme="1"/>
        <rFont val="Calibri"/>
        <family val="2"/>
        <scheme val="minor"/>
      </rPr>
      <t>2</t>
    </r>
    <r>
      <rPr>
        <sz val="12"/>
        <color theme="1"/>
        <rFont val="Calibri"/>
        <family val="2"/>
        <scheme val="minor"/>
      </rPr>
      <t xml:space="preserve"> as walls.</t>
    </r>
  </si>
  <si>
    <t>The obstructed radiators give lower thermal comfort too, because there is less radiant heat falling on the occupants.</t>
  </si>
  <si>
    <t>done</t>
  </si>
  <si>
    <t>Modulating thermostat/weather or load compensation</t>
  </si>
  <si>
    <t>Roof area</t>
  </si>
  <si>
    <t>Mean roof area</t>
  </si>
  <si>
    <t>Installing loft insulation</t>
  </si>
  <si>
    <t>Adding loft insulation improves thermal comfort in the rooms below the roof. It can help keep rooms cool in summer as well as retaining  heat in winter. It can also alleviate problems with cold spots and mould on ceilings.</t>
  </si>
  <si>
    <t>UK proportion of homes</t>
  </si>
  <si>
    <t>UK Total proportion of homes</t>
  </si>
  <si>
    <t>Assume losses are directly proportional the temperature difference between the cylinder and the room.</t>
  </si>
  <si>
    <t>Oil saved from water heating</t>
  </si>
  <si>
    <t>Gas saved from water heating</t>
  </si>
  <si>
    <t>Additional gas use for space heating</t>
  </si>
  <si>
    <t>Normalised</t>
  </si>
  <si>
    <t>None</t>
  </si>
  <si>
    <t>1 to 50mm</t>
  </si>
  <si>
    <t>51-100mm</t>
  </si>
  <si>
    <t>101-150mm</t>
  </si>
  <si>
    <t>151-200mm</t>
  </si>
  <si>
    <t>201-250mm</t>
  </si>
  <si>
    <t>More than 300mm</t>
  </si>
  <si>
    <t>251-350mm</t>
  </si>
  <si>
    <t>Fitting foil behind radiators on external walls</t>
  </si>
  <si>
    <t>When a radiator on an external wall heats up it heats up the wall as well as the room. The wall becomes warmer than adjacent sections and there is higher heat loss. This is often seen in infrared images of homes, especially those with uninsulated solid walls. The heat loss can be reduced by installing a thin reflective panel into the spacel behind the radiator. This can even by a piece of cardboard covered with ordinary kitchen foil. The foil helps to reflect the heat back into the room rather than heating up the wall.</t>
  </si>
  <si>
    <t>Radflek test results</t>
  </si>
  <si>
    <t>wall1</t>
  </si>
  <si>
    <t>wall2</t>
  </si>
  <si>
    <t>with sheet</t>
  </si>
  <si>
    <t>rad temp</t>
  </si>
  <si>
    <t>inner wall</t>
  </si>
  <si>
    <t>outer wall</t>
  </si>
  <si>
    <t>cold box</t>
  </si>
  <si>
    <t>Temp diff across wall</t>
  </si>
  <si>
    <t>No sheet</t>
  </si>
  <si>
    <t>W/m2</t>
  </si>
  <si>
    <t>K</t>
  </si>
  <si>
    <t>Heat flow analysis</t>
  </si>
  <si>
    <t>Adustment for mean winter conditions</t>
  </si>
  <si>
    <t>U-value adjusted for surface resistance</t>
  </si>
  <si>
    <t>Heat flow</t>
  </si>
  <si>
    <t>Heat saving from the sheet</t>
  </si>
  <si>
    <t>Adjustment for higher radiator temperature 60C</t>
  </si>
  <si>
    <t>Heat transfer to the wall at that distance will be mainly from radiation rather than convection and determined by the temperature of the radiator. Thus we can expect similar savings for different types of radiator, depending only on the surface temperature. There are bigger savings from walls with higher conductive losses.</t>
  </si>
  <si>
    <t>Our approach for modelling this is first to use the test results to estimate heat savings by area of radiator against the wall. This is different depending oon the type of wall. Then we use this to estimate the fraction of space heating lost (depending on the proportion  of radiators against external walls, and the heat output of the radiator relative to the heat losses).</t>
  </si>
  <si>
    <t>Radflek</t>
  </si>
  <si>
    <t>Radflek - proposed CERT attributed savings - BRE</t>
  </si>
  <si>
    <t>https://www.radflek.com/_webedit/uploaded-files/All%20Files/Radflek_FinalReport.pdf</t>
  </si>
  <si>
    <t>Effective U-value between the radiator and the wall - this assumes that heat transfer is linear depending on the radiator surface temperature and the outside temperature</t>
  </si>
  <si>
    <t>Savings (W/m2)</t>
  </si>
  <si>
    <t>Type of wall</t>
  </si>
  <si>
    <t>Radiator output W/m2</t>
  </si>
  <si>
    <t>NEED</t>
  </si>
  <si>
    <t>National Energy Efficiency Data-Framework (NEED): Summary of Analysis, Great Britain, 2021</t>
  </si>
  <si>
    <t>https://assets.publishing.service.gov.uk/government/uploads/system/uploads/attachment_data/file/1008681/need-report-2021.pdf</t>
  </si>
  <si>
    <t>Then used interpolation from the chart to estimate savings from different types of wall.</t>
  </si>
  <si>
    <t>retrofit filled cavity</t>
  </si>
  <si>
    <t>Solid or  unfilled cavity</t>
  </si>
  <si>
    <t>Other household factors</t>
  </si>
  <si>
    <t>Proportion of radiators on external walls</t>
  </si>
  <si>
    <t>Savings as a proportion of household bill - depends on radiator type</t>
  </si>
  <si>
    <t>%age of space heating</t>
  </si>
  <si>
    <t>cf 21000 from the CHM, England only</t>
  </si>
  <si>
    <t>Population of Scotland</t>
  </si>
  <si>
    <t>Total gas for domestic space heating (UK)</t>
  </si>
  <si>
    <t>Total oil for domestic space heating (UK)</t>
  </si>
  <si>
    <t>Proportion of gas bill for space heating</t>
  </si>
  <si>
    <t>cf gas - this is the same.</t>
  </si>
  <si>
    <t>CAR expert opinion - radiators are often positioned below windows in which case they are always on external walls</t>
  </si>
  <si>
    <t>Modern cavity wall</t>
  </si>
  <si>
    <t>Uncertainy in savings from sheet</t>
  </si>
  <si>
    <t xml:space="preserve">CAR expert opinion </t>
  </si>
  <si>
    <t>Proportion of oil bill for space heating</t>
  </si>
  <si>
    <t>By country assumptions - al numbers of dwellings</t>
  </si>
  <si>
    <t>Typical household savings from installing foil sheet (kWh/year)</t>
  </si>
  <si>
    <t>This measure only applies to wet heating systems, so homes using gas or oil for heating.</t>
  </si>
  <si>
    <t>Installing foil behind radiators</t>
  </si>
  <si>
    <t>… against retrofit filled cavity walls</t>
  </si>
  <si>
    <t>Bill savings per household</t>
  </si>
  <si>
    <r>
      <t>SAP 10.2 assumes that all windows have curtains and curtains are closed for half the time. They assume curtains have an effective resistance of 0.04 m</t>
    </r>
    <r>
      <rPr>
        <vertAlign val="superscript"/>
        <sz val="12"/>
        <color theme="1"/>
        <rFont val="Calibri"/>
        <family val="2"/>
        <scheme val="minor"/>
      </rPr>
      <t>2</t>
    </r>
    <r>
      <rPr>
        <sz val="12"/>
        <color theme="1"/>
        <rFont val="Calibri"/>
        <family val="2"/>
        <scheme val="minor"/>
      </rPr>
      <t>K/W (based on. 0.08 m</t>
    </r>
    <r>
      <rPr>
        <vertAlign val="superscript"/>
        <sz val="12"/>
        <color theme="1"/>
        <rFont val="Calibri"/>
        <family val="2"/>
        <scheme val="minor"/>
      </rPr>
      <t>2</t>
    </r>
    <r>
      <rPr>
        <sz val="12"/>
        <color theme="1"/>
        <rFont val="Calibri"/>
        <family val="2"/>
        <scheme val="minor"/>
      </rPr>
      <t>K/W for half the time, i.e. 12/24 hours).</t>
    </r>
  </si>
  <si>
    <t>Closing curtains on single glazed windows</t>
  </si>
  <si>
    <t>Closing curtains on double glazed windows</t>
  </si>
  <si>
    <t>single glazing</t>
  </si>
  <si>
    <t>Typical household bill savings , based on the typical area of windows</t>
  </si>
  <si>
    <t>double glazing</t>
  </si>
  <si>
    <t>Dwelling factors by fuel (data from the CHM)</t>
  </si>
  <si>
    <t>Total kWh</t>
  </si>
  <si>
    <t>Total £/year</t>
  </si>
  <si>
    <t>Gas Mean</t>
  </si>
  <si>
    <t>Oil Mean</t>
  </si>
  <si>
    <t>Elec Mean</t>
  </si>
  <si>
    <t>%age of space heaitng</t>
  </si>
  <si>
    <t>as reduced heating hours</t>
  </si>
  <si>
    <t>By window area, then prop single/double</t>
  </si>
  <si>
    <t>Redone for per-window area. Poss add thermal curtains?</t>
  </si>
  <si>
    <t>v9</t>
  </si>
  <si>
    <t>New sections foil</t>
  </si>
  <si>
    <t>In practice, the savings vary considerably depending on the curtain and other factors. Savings are greatest for a single-glazed  window above a radiator and the curtains are tucked behind it (up to 30%). Savings are lower for double-glazed windows, or where there is no radiator, or where the curtain is not well fitted into the reveal so that air can move freely around it. [Salford]</t>
  </si>
  <si>
    <t>We have used the Cambridge Housing Model, which is based on SAP and has the same curtain resistance factor, to test the annual saving by area and type of window.</t>
  </si>
  <si>
    <t>The CHM model assumed a curtain resistance of 0.04, based on a resistance of 0.08 half the time. Here we calculate the corrsponding savings to compare with the literature below.</t>
  </si>
  <si>
    <t>Solid walls</t>
  </si>
  <si>
    <t>Other walls</t>
  </si>
  <si>
    <t>All homes</t>
  </si>
  <si>
    <t>Bill savings per household (%)  modelled in the CHM</t>
  </si>
  <si>
    <t>Bill savings per household (%) CODE/CHM (gas only)</t>
  </si>
  <si>
    <t>CODE</t>
  </si>
  <si>
    <t>Other electric homes</t>
  </si>
  <si>
    <t>Notation</t>
  </si>
  <si>
    <t>CAR expert opinion: at most the proportion of homes with combi boilers</t>
  </si>
  <si>
    <t>CAR expert opinion as described, left</t>
  </si>
  <si>
    <t>Test measurements - from Radflek</t>
  </si>
  <si>
    <t>W/m2K</t>
  </si>
  <si>
    <t>We have plotted the results from the analysis (left) in the chart below.</t>
  </si>
  <si>
    <t>Proporton of dwellings that could adopt the measure</t>
  </si>
  <si>
    <t>Bills will increase if they change at all, unless this measure is combined with turning down the thermostat or reducing radiator temperatures.</t>
  </si>
  <si>
    <t>1. Cambridge Housing Model (CHM)</t>
  </si>
  <si>
    <t>2. CODE model</t>
  </si>
  <si>
    <t>We used weather for a single location that represents 'average' UK weather (near Sheffield).</t>
  </si>
  <si>
    <t>Basd on EnergyPlus, a detailed, dynamic model of buildling physics. Energy use is modelled over a year in intervals of 10 minutes.</t>
  </si>
  <si>
    <t>redone the curtains based on window area</t>
  </si>
  <si>
    <t>Definitions</t>
  </si>
  <si>
    <t>Outlet temperature minus boiler return temperature</t>
  </si>
  <si>
    <t xml:space="preserve">Delta T
</t>
  </si>
  <si>
    <t>Savings (modelled in the CHM) by window area</t>
  </si>
  <si>
    <t>Typical area of windows (m2)</t>
  </si>
  <si>
    <t>According to [ONSwellbeing], 51% of adults said they closed all the curtains at night to keep the heat in, but this is not precise.</t>
  </si>
  <si>
    <t>Film on single-glazed windows</t>
  </si>
  <si>
    <t>Film on double-glazed windows</t>
  </si>
  <si>
    <r>
      <t>The modelling approach starts by using the CHM to model savings per unit area of window. We reduced draughts through doors and windows by half and we added thermal resistance to each of 0.07 m</t>
    </r>
    <r>
      <rPr>
        <vertAlign val="superscript"/>
        <sz val="12"/>
        <color theme="1"/>
        <rFont val="Calibri"/>
        <family val="2"/>
        <scheme val="minor"/>
      </rPr>
      <t>2</t>
    </r>
    <r>
      <rPr>
        <sz val="12"/>
        <color theme="1"/>
        <rFont val="Calibri"/>
        <family val="2"/>
        <scheme val="minor"/>
      </rPr>
      <t>K/W - equivalent to a 25% reduction in heat flow for a single-glazed window with timber frames. The savings vary considerably depending on the type of window- much more for single glazing than double glazing - so we keep these calculations separate. This is then scaled to household level assuming a typical area of window of each type. Electrically heated homes tend to be smaller and have fewer windows, oil heated homes are larger with more windows, and a higher proportion of single-glazed windows.</t>
    </r>
  </si>
  <si>
    <t>Factor for savings per unit area - depending on installation quality and initial draughtiness of windows</t>
  </si>
  <si>
    <t>Double glazing</t>
  </si>
  <si>
    <t>Add window film to all windows</t>
  </si>
  <si>
    <t>This does not affect thermal comfort because it does not significantly affect the temperature when the heating is on. (We assume that the heating is reactivated in good time for when it is needed again.)</t>
  </si>
  <si>
    <t>The modelling approach here is to calculate the reduction in energy use calculated by standard energy models for a range of homes representing the stock. The reduction in energy use depends on the type of heating system, because they vary in the level of control - more control for wet radiator sustems, and less for storage radiators.</t>
  </si>
  <si>
    <t>These savings are so small we consider it unlikely that homes would adopt this measure, so these are omitted from modelling below.</t>
  </si>
  <si>
    <t>Homes that have timed heating and could reduce it, or irregular habits that allow more turning off</t>
  </si>
  <si>
    <t>Proportion of all homes heated with electricity (not storage heaters)</t>
  </si>
  <si>
    <t xml:space="preserve">When a radiator is obstructed by furniture it is less effective at transferring heat into the room. Radiators transfer heat by a combination of radiation and convection. The obstruction restricts convection, because this relies on free  air flow. This means a higher proportion of the transfer is by convection. Radiant transfer is also intercepted by the obstruction, which warms as a result. This heat is ultimately transferred into the room but it takes longer to get there. </t>
  </si>
  <si>
    <t xml:space="preserve">We adapted the CODE model to examine the effects of adding obstacles in front of a radiator. We introduced radiator obstructions by reducing the capacity of the radiator and by increasing the radiative component in step. Initially, radiators transfer 30% by radiation and 70% by convection. The capacity reduction is taken from the convection only, so when capacity is reduced by 20% we increase the radiatiant fraction from 30% to 37.5%. </t>
  </si>
  <si>
    <t>When an obstacle is removed, the radiator becomes more efficient and heats the room more quickly. This uses more energy rather than less. Also, the radiant heat absorbed by an obstruction it continues to heat the room when the heating is off. This uses more energy and when the obstruction is removed the effect reverses, giving savings. For small obstacles, the stored radiant heat has the greater effect and gas consumption increases, but the effect is small. With  significant obstacles, the increased capacity wins out and heating energy demand increases.</t>
  </si>
  <si>
    <t>For this case we excluded one archetype where the effect of the obstruction was so great it did not heat the house effectively.</t>
  </si>
  <si>
    <t>Distribution and storage losses (system boilers)</t>
  </si>
  <si>
    <t>Reduced DHW temp losses</t>
  </si>
  <si>
    <t>Same as combi keep hot</t>
  </si>
  <si>
    <t>Proportion of gas boilers that are system boilers</t>
  </si>
  <si>
    <t>Proportion of oil boilers that are system boilers</t>
  </si>
  <si>
    <t>Proportion of households with a system boiler who can turn down the cylinder temperature without running out of hot water</t>
  </si>
  <si>
    <t>Bennett</t>
  </si>
  <si>
    <t>Chart below from Bennett</t>
  </si>
  <si>
    <t>Energy use of  pre-heat facility (without a timer)</t>
  </si>
  <si>
    <t>Based on the data in the chart above</t>
  </si>
  <si>
    <t>Gas use for the pre-heat (untimed)</t>
  </si>
  <si>
    <t>Gas use for the pre-heat (timed)</t>
  </si>
  <si>
    <t>Gas savings from preheat losses used as space heating (untimed)</t>
  </si>
  <si>
    <t>Gas savings from preheat losses used as space heating (timed)</t>
  </si>
  <si>
    <t>Net loss from pre-heat (untimed)</t>
  </si>
  <si>
    <t>Net loss from pre-heat (timed)</t>
  </si>
  <si>
    <t>Changing to a timed preheat</t>
  </si>
  <si>
    <t>Loft insulation is hard to add in homes where there is a room in roof or a flat roof. We only consider pitched roofs without a room in roof. Also, where homes have upper rooms with sloping ceilings that are part of the roof, it may not  be possible to insulate these areas without blocking ventilation to roof timbers. Ignoring this can lead to condensation and mould.</t>
  </si>
  <si>
    <t>CHM Modelling results, savings/roof area  (kWh/m2)</t>
  </si>
  <si>
    <t>Electrically heated homes tend to be smaller and oil heated homes larger. For calculating household savings we use a typical roof size, which is different for each fuel - based on the data in the CHM.</t>
  </si>
  <si>
    <t>… against solid walls or unfilled cavity walls</t>
  </si>
  <si>
    <t>Our approach starts with using the CHM to estimate the annual energy savings by area of window, single or double and by fuel type. The CHM was run with and without the closed curtains assumption. Differences by fuel are mainly to do with efficiency. We then scale up to a household using the average area of windows and the average proportion of single and double glazing.</t>
  </si>
  <si>
    <t>Closing curtains at night improves thermal comfort because it increases the radiative temperature in the room, by hiding the cold glass surface, and it also reduces draughts in the vicinity of the window</t>
  </si>
  <si>
    <r>
      <t xml:space="preserve">We used two models to calculate these savings: the Cambridge Housing Model (CHM), and the CODE model. We tested the overall impact of reducing heating hours by 5 hours each week by adjusting the regular pattern of weekday heating to start later in the evening (6-10pm instead of 5-10pm). The overall results from the two models were comparable, although the CHM results were more variable and more skewed to the high savings from </t>
    </r>
    <r>
      <rPr>
        <sz val="12"/>
        <rFont val="Calibri"/>
        <family val="2"/>
        <scheme val="minor"/>
      </rPr>
      <t>dwellings with uninsulated solid walls.</t>
    </r>
  </si>
  <si>
    <t>Changing the hot water cylinder temperature will not affect the boiler efficiency.</t>
  </si>
  <si>
    <t>Proportion of all UK households (oil)</t>
  </si>
  <si>
    <t>Proportion of all UK households (gas)</t>
  </si>
  <si>
    <t>UK Stock total carbon savings kt/year</t>
  </si>
  <si>
    <t>Gas high</t>
  </si>
  <si>
    <t>Gas low</t>
  </si>
  <si>
    <t>Oil low</t>
  </si>
  <si>
    <t>Oil high</t>
  </si>
  <si>
    <t>Elec low</t>
  </si>
  <si>
    <t>Elec high</t>
  </si>
  <si>
    <t>m2</t>
  </si>
  <si>
    <t>In this table and chart, low and high levels are the 25% and 75% quantiles for savings across the stock.</t>
  </si>
  <si>
    <t>Proportion of UK homes</t>
  </si>
  <si>
    <t>Savings for homes heated with oil are higher because heat loss is higher - more solid walls and single glazed windows. Also they tend to be larger with a higher proportion of heat for space heating rather than DHW.</t>
  </si>
  <si>
    <t>Combi boiler efficiency when turning on for preheat (High efficiency leads to low losses and vice versa)</t>
  </si>
  <si>
    <t>This action is not applicable to combi boilers as they do not have a hot water cylinder (except sometimes a small keep-hot facility). We have used the term 'system boiler' for all non-combi boilers. Technically this only refers to boilers where the hot water system is sealed. However, the principles are exactly the same for regular boilers, which are not sealed and have a header tank for pressure.</t>
  </si>
  <si>
    <t>Summer efficiency for system boilers</t>
  </si>
  <si>
    <t>Winter efficiency for system boilers</t>
  </si>
  <si>
    <t>UK proportion of homes with…</t>
  </si>
  <si>
    <t>Low/high bands reflect uncertainty in scaling from England to the UK</t>
  </si>
  <si>
    <t>Solid or  unfilled cavity - 1.5 to 2.5</t>
  </si>
  <si>
    <t>The savings for these U-values have been calculated by interpolating from the results above.</t>
  </si>
  <si>
    <t>Modern cavity walls - low U-values up to 0.5</t>
  </si>
  <si>
    <t>Proportion of homes that can upgrade loft insulation</t>
  </si>
  <si>
    <t>Homes with inaccessible lofts</t>
  </si>
  <si>
    <t>Proportion of radiators with inaccessible spaces</t>
  </si>
  <si>
    <t>CAR expert opinion - rads may be enclosed or awkwards positioned below projecting windows sills</t>
  </si>
  <si>
    <t>All household factors</t>
  </si>
  <si>
    <t>In this table, low and high levels are the 25% and 75% quantiles for savings across the stock.</t>
  </si>
  <si>
    <t>In hard-water areas, high cylinder temperature can exacerbate scaling up, which makes the heat exchanger less efficient.</t>
  </si>
  <si>
    <t>This is an average of 50°C most days and 60°C once a week. However, controls do not usually have this flexibility.</t>
  </si>
  <si>
    <t>Most homes have some loft insulation already but there are around 265,000 that do not. There are diminishing returns to adding more top-up insulation, but it is still worth doing in many cases. The shape and size of the dwelling matters: this is more important for homes with a large area of roof.</t>
  </si>
  <si>
    <t>National statistics on energy savings from (top-up) loft insulation (NEED) report a mean 3% saving for loft insulation (approx. £30/year), with a median of 4%.  This is a little less than our estimate for a top-up from 100-150mm to 300mm. However, savings can be much higher for homes starting with less insulation.</t>
  </si>
  <si>
    <t>None to 300mm</t>
  </si>
  <si>
    <t>0- 50, to 300mm</t>
  </si>
  <si>
    <t>50-100 to 300mm</t>
  </si>
  <si>
    <t>v12</t>
  </si>
  <si>
    <t>Changed loft insulation to be all up to 300mm</t>
  </si>
  <si>
    <t>Also put more cases onto the summary sheet</t>
  </si>
  <si>
    <t>v10</t>
  </si>
  <si>
    <t>Tidying and checking</t>
  </si>
  <si>
    <t>v11</t>
  </si>
  <si>
    <t>At the low flow temperatures there is more agreement between sources.</t>
  </si>
  <si>
    <t>Energy use from timed preheat, as a proportion of turning it off - high proportion means low savings. High proportion would be 16 hours on, medium 12 hours on, Low would be 8 hours on.</t>
  </si>
  <si>
    <t xml:space="preserve">The higher the cylinder temperature, the more heat is stored - which means you can run more baths and showers. If you have solar panels, allowing the panels to heat to a high temperature may allow you to make more use of renewable solar energy. However, higher temperatures also increase heat loss from the cylinder. If you do not have a mixer valve it also increases losses from the pipes distributing water to taps around the dwelling. </t>
  </si>
  <si>
    <t>The modelling approach here is to use the CHM to gather statistics on heat loss from distribution and storage of hot water, and then to adjust these values according to the change in temperature. Energy savings are calculated for different heating systems because they vary in the efficency of energy use to replace these losses. We also take into account the fact that in most cases the cylinder is inside the heated envelope of the house so some of the heat loss is  useful gains (in winter). Savings on heating the cylinder are partly offset by  additional space heating. Most boilers are more efficient providing space heating than hot water, so two different efficiencies are used.</t>
  </si>
  <si>
    <t>CAR expert opinion (consistent with SAP)</t>
  </si>
  <si>
    <t xml:space="preserve">Homes with electric heating usually have a hot water cylinder with an immersion heater controlled by a thermostat. If there is no thermostat there is a risk of overheating your cylinder. If the home is on an Economy 7 tariff (or similar) then there should be a timer to ensure the cylinder is heated at cheap rate.  However, there is not always a timer. Adjusting the thermostat means taking the protective cap off and using a screwdriver to adjust the setting. This is simple enough if you are confident with DIY  (see https://www.diydata.com/problem/immersion/immersion_adjustment.php). </t>
  </si>
  <si>
    <t>Weekly Legionella cycle</t>
  </si>
  <si>
    <t>Standard Operation</t>
  </si>
  <si>
    <t>Notes</t>
  </si>
  <si>
    <t>Mean room temperature</t>
  </si>
  <si>
    <t>Reduce the cylinder temperature to 50°C with a weekly Legionella cycle</t>
  </si>
  <si>
    <t>Overall, our modelling indicates that there are no significant heat savings from removing obstructions from radiators and if anything heating demand is likely to increase.</t>
  </si>
  <si>
    <t>Proportion of all households that could control preheat with a timer</t>
  </si>
  <si>
    <t>In this table (and the chart), low and high levels are the 25% and 75% quantiles for savings across the stock.</t>
  </si>
  <si>
    <t>Typical household bill savings, based on the typical area of windows</t>
  </si>
  <si>
    <t>The number of homes in the table below reflects the number of homes in the CHM dataset, which represent homes in England only. This is scaled to UK in Rows 45 to 52. We modelled only homes with a pitched roof and no room in roof, and homes with inaccessible lofts were excluded.</t>
  </si>
  <si>
    <t>Retrofit filled cavity</t>
  </si>
  <si>
    <t>Solid or unfilled cavity</t>
  </si>
  <si>
    <t>Typical household savings from installing foil sheet (£/year)</t>
  </si>
  <si>
    <t>There is very limited evidence however. A report evaluating a product called Radflek (for radiator reflector) shows heat loss through the wall reduced by nearly half. There are errors in calculations in the report, but we were able to use the raw data and avoid the errors.</t>
  </si>
  <si>
    <t>Tdiff for 50-rad to 5-ext</t>
  </si>
  <si>
    <t>Tdiff for 60-rad to 5-ext</t>
  </si>
  <si>
    <t>The tests were conducted on two walls, one with U-value 1.1 W/m2K. and a second one with U-value 2.1. The tests measured temperature at the surface of the radiator and the inner and outer surfaces of the wall as as well as the cold box surrounding the test setup.</t>
  </si>
  <si>
    <t xml:space="preserve">The results from CODE are consistent with the CHM (see chart) but CHM results are used here because they cover a wider variety of homes. </t>
  </si>
  <si>
    <t>Data sources are indicated, using a key for the References tab where appropriate.</t>
  </si>
  <si>
    <t>In some cases there is not enough space between the window and the frame surface to install window film.</t>
  </si>
  <si>
    <t>Bug fix</t>
  </si>
  <si>
    <t>sheet</t>
  </si>
  <si>
    <t>row</t>
  </si>
  <si>
    <t>change</t>
  </si>
  <si>
    <t>Reducing heating hours</t>
  </si>
  <si>
    <t>reformatted as a calculated row</t>
  </si>
  <si>
    <t>Mean</t>
  </si>
  <si>
    <t>https://myboiler.com/opentherm/opentherm-boilers-and-controls/ "</t>
  </si>
  <si>
    <t>OpenTherm</t>
  </si>
  <si>
    <t>Opentherm boilers and controls</t>
  </si>
  <si>
    <t>The savings calculated in the CHM seem to be a little lower than those found in [EFUS]. In their full regression model the coefficient for heating hours was 1.57, with the dependent variable being the square root of the gas bill. (The regression equation is not specified so this is not entirely clear, but this is our interpretation.) The coefficient value implies that starting with a bill of 12,000 kWh/year, a reduction of 1 hour/day would mean an additional 346 kWh/year or 2.9%. Our calculation yields 1.59% from a reduction of 1 hour 5 days a week - scaled up to 1 hour per day this would be 2.2%.</t>
  </si>
  <si>
    <t>Turn off Keephot</t>
  </si>
  <si>
    <t>Low savings are from 16 hours keephot, high savings from only 8 hours keephot. This affects the text only.</t>
  </si>
  <si>
    <t>Low savings are from low space heating efficiency: low and high were the wrong way round</t>
  </si>
  <si>
    <t>Oil heating bill per household</t>
  </si>
  <si>
    <t>hot water as a proportion of space heating</t>
  </si>
  <si>
    <t>Load compensation for boilers</t>
  </si>
  <si>
    <t>Weather compensation for boilers</t>
  </si>
  <si>
    <t>Smart thermostats (e.g. NEST)</t>
  </si>
  <si>
    <t>Reducing radiator temperatures (set and forget)</t>
  </si>
  <si>
    <t>Reducing hours of heating by 5 hours/week (set and forget)</t>
  </si>
  <si>
    <t>Proportion of homes with boilers that can install smart thermostat</t>
  </si>
  <si>
    <t>Total proportion of homes</t>
  </si>
  <si>
    <t>Proportion of boilers with modulation capability</t>
  </si>
  <si>
    <t>Smart thermostat</t>
  </si>
  <si>
    <t>Load compensation</t>
  </si>
  <si>
    <t>Weather compensation</t>
  </si>
  <si>
    <t>SalfordTherm</t>
  </si>
  <si>
    <t>Assessing the energy savings from advanced room thermostat controls in a whole house test facility</t>
  </si>
  <si>
    <t>https://www.beama.org.uk/resourceLibrary/salford-tests-on-load-and-weather-compensation-.html</t>
  </si>
  <si>
    <t>SalfordCurtains</t>
  </si>
  <si>
    <t xml:space="preserve">Do domestic heating controls save energy? A review of the evidence </t>
  </si>
  <si>
    <t>Lomas-2018</t>
  </si>
  <si>
    <t xml:space="preserve">https://doi.org/10.1016/j.rser.2018.05.002 </t>
  </si>
  <si>
    <t>Evidence Gathering - Compensation and TPI Heating Controls</t>
  </si>
  <si>
    <t>BRE-controls</t>
  </si>
  <si>
    <t>https://assets.publishing.service.gov.uk/government/uploads/system/uploads/attachment_data/file/648337/heating-controls-compensation-tpi-bre.pdf</t>
  </si>
  <si>
    <t>Class IV
TPI</t>
  </si>
  <si>
    <t>NEST</t>
  </si>
  <si>
    <t>Smart
(NEST)</t>
  </si>
  <si>
    <t>Smart</t>
  </si>
  <si>
    <t>6.5% +/- 5%</t>
  </si>
  <si>
    <t>4.5% +/- 1.2%</t>
  </si>
  <si>
    <t>Behavioural Insights Team</t>
  </si>
  <si>
    <t>Evaluating the Nest Learning Thermostat</t>
  </si>
  <si>
    <t>https://www.bi.team/wp-content/uploads/2017/11/311013-Evaluating-Nest-BIT-Exec-Tech-Summaries.pdf</t>
  </si>
  <si>
    <t>Efficiency savings for different types of controls, summary of data from all sources</t>
  </si>
  <si>
    <t>SAP 10.2</t>
  </si>
  <si>
    <t>Salford - initial</t>
  </si>
  <si>
    <t>Reference key</t>
  </si>
  <si>
    <t>Efficiency savings (gas and oil)</t>
  </si>
  <si>
    <t>BRE: Ecodesign regulations</t>
  </si>
  <si>
    <t>Weather compensating controls failed to achieve comfort heating in the initial phase.</t>
  </si>
  <si>
    <t>This measure applied to all homes except those with storage heaters.</t>
  </si>
  <si>
    <t>This measure could apply to most homes with wet heating systems.</t>
  </si>
  <si>
    <t>This measure could apply to all homes who do not already close curtains at night.</t>
  </si>
  <si>
    <t>This measure could apply to almost all homes.</t>
  </si>
  <si>
    <t>This measure could apply to almost all homes that have a pitched roof not converted to an attic.</t>
  </si>
  <si>
    <t>This measure could apply to almost all homes with wet heating systems.</t>
  </si>
  <si>
    <t>v14</t>
  </si>
  <si>
    <t>Bug fixes Added smart thermostats, load and weather compensation</t>
  </si>
  <si>
    <t>Fixed proportion of homes with gas boilers on Reducing DHW temperature</t>
  </si>
  <si>
    <t>Reducing radiator temperature</t>
  </si>
  <si>
    <t>version</t>
  </si>
  <si>
    <t xml:space="preserve">The modelling approach here is to first determine the increase in efficiency which will apply to space heating using the lower flow temperature and then apply this to the space heating portion of gas heating demand. </t>
  </si>
  <si>
    <t>Added a line for each measure on what sort of homes can adopt it.</t>
  </si>
  <si>
    <t>OFGEM tariffs Oct 2022</t>
  </si>
  <si>
    <t>OFGEM tariffs April 2022</t>
  </si>
  <si>
    <t>All figures are for the standard credit tariff</t>
  </si>
  <si>
    <t>N Wales and Mersey</t>
  </si>
  <si>
    <t>Northern Scotland</t>
  </si>
  <si>
    <t>Southern</t>
  </si>
  <si>
    <t>South East</t>
  </si>
  <si>
    <t>Southern Western</t>
  </si>
  <si>
    <t>Southern Scotland</t>
  </si>
  <si>
    <t>Updated tariffs for from 1/10/2022</t>
  </si>
  <si>
    <t>Install TRVs on radiators</t>
  </si>
  <si>
    <t>Timmins - space heating only</t>
  </si>
  <si>
    <t>Proportion of those homes with TRVs</t>
  </si>
  <si>
    <t>Bill savings per participating household kWh/year</t>
  </si>
  <si>
    <t>Proportion of dwellings that could adopt the measure</t>
  </si>
  <si>
    <t>Comfort Improvement</t>
  </si>
  <si>
    <t>CAR expert opinion - we have very limited information on the market share of combi boilers with a preheat facility</t>
  </si>
  <si>
    <t>Turn off the 'pre-heat' facility on a combi boiler</t>
  </si>
  <si>
    <t>Turn off pre-heat facility</t>
  </si>
  <si>
    <t>Adjust timer for pre-heat</t>
  </si>
  <si>
    <t>Number of participating households (thousands)</t>
  </si>
  <si>
    <t>Turn off per-heat</t>
  </si>
  <si>
    <t>change 'keep-hot' to 'pre-heat'. Also removed mentions of internal storage as that is not relevenat.</t>
  </si>
  <si>
    <t>Summary2</t>
  </si>
  <si>
    <t>Added this sheet, with an alternative summary format. Some other sheets changed to generate data for this sheet.</t>
  </si>
  <si>
    <t>In SAP10, living areas are heated to 21°C and other areas are cooler, depending on the heat loss parameter and heating controls, and commonly 18 to 20°C. Low heat loss means a smaller difference betend to increase the difference. EFUS reports very similar average temperatures in the living room and bedrooms (0.5°C difference to main bedroom and 0.8°C difference to a third bedroom). This suggests that there is room for savings, although some households - such as those with a health problem - need warmer bedrooms.</t>
  </si>
  <si>
    <t>We used two approaches to estimate savings. The first was based on modelling homes with and without TRVs using the CHM. We compared total gas use for homes that did have TRVs with the same homes without TRVs. Taken as a proportion of the bill, there was very little difference between gas boiler cases and oil boiler cases, so we used the same values for both.</t>
  </si>
  <si>
    <t>Timmins  - adjusted for the whole bill (reflecting DHW heating)</t>
  </si>
  <si>
    <t>Note Ofgem price caps do not specify difference between peak and non-peak rate</t>
  </si>
  <si>
    <t xml:space="preserve">For the conductive heat losses we used the figure of 25% reduction in conductive heat loss, based on the study of StormGuard secondary glazing film by R Fitton (2014). (Note that other brands are available, and these likely have similar performance.) Savings can be higher, in the case of windows that were draughty, or lower because of poor installation. </t>
  </si>
  <si>
    <t>... Against filled cavity walls (as built)</t>
  </si>
  <si>
    <t>As-built insulated cavity walls</t>
  </si>
  <si>
    <t>Reported results</t>
  </si>
  <si>
    <t>Fuel</t>
  </si>
  <si>
    <t xml:space="preserve">Merely fitting TRVs makes no savings: it is the adjustment that matters, and precisely how TRVs are set up is ambiguous in SAP. This makes it difficult to generalise across the stock and there is very little field data. </t>
  </si>
  <si>
    <t>If these homes do not currently set TRVs to achieve cooler non-living rooms</t>
  </si>
  <si>
    <t>Millions of homes (UK)</t>
  </si>
  <si>
    <t>Indicative % saving from gas 
bill (gas only, Medium)</t>
  </si>
  <si>
    <t>Add or multiply to calculate packages</t>
  </si>
  <si>
    <t>Multiply</t>
  </si>
  <si>
    <t>Add</t>
  </si>
  <si>
    <t>PACKAGES OF MEASURES</t>
  </si>
  <si>
    <t>Install  a smart thermostat, one with load compensation, or weather-compensating controls.</t>
  </si>
  <si>
    <t>This measure could apply to all homes with modulating boilers that are compatible with OpenTherm</t>
  </si>
  <si>
    <t xml:space="preserve">Load compensation and weather compensation work with modulating boilers to adjust the power output according to either heating demand in rooms ('load compensation'), or the outdoor temperature ('weather compensation'). Lower power generally means a lower flow temperature, which also means a lower return temperature - so the boiler runs in condensing mode more of the time. However, the temperature difference between flow and return also reduces unless the boiler has an integrated circulation pump and lowers the speed as well. </t>
  </si>
  <si>
    <t>Load-compensating controllers adjust the power output according to the difference between the internal temperature and the target temperature. If the internal temperature is too low, the power is increased, and vice versa.</t>
  </si>
  <si>
    <t xml:space="preserve">Weather-compensating controllers adjust the power output according to the temperature outside. They use either  a physical sensor, or temperature information from sources on the internet . When it is cold the power output is increased and vice versa. The relationship is set by a curve which can be adjusted up or down, depending on the dwelling heat losses. Getting this right requires either careful calculation or experiment.  In University of Salford tests [SalfordTherm] -the weather compensating controls failed to heat rooms adequately until the heating system was optimised by balancing the radiators, range rating the boiler, and setting an appropriate pump speed. </t>
  </si>
  <si>
    <t>When they are set correctly, weather compensating controls  give a slower response than load-compensating controls. This makes them less suited to intermittent heating (but good for heat pumps).</t>
  </si>
  <si>
    <t>Intelligent thermostats such as NEST can automatically adjust heating schedules and set-point temperatures according to the requirements of the occupants. Most systems use presence sensors to do this.</t>
  </si>
  <si>
    <t xml:space="preserve">SAP reports higher savings from load-compensating controls in oil boilers compared to gas, but the opposite for weather compensation.  However, the product characteristics database lists only two modulating controllers for oil boilers - both Class VIII, which is a combination of load compensation with zone controls. Also  multiple sources report that most oil boilers cannot modulate, so very few installed systems would be able to benefit.  Further, few oil boilers support OpenTherm. Overall the potential uptake for modulating controls on oil boilers is not significant. </t>
  </si>
  <si>
    <t>These are the efficiency gains at 80/60 or 70/60 flow-return settings, so without reducing flow temperature</t>
  </si>
  <si>
    <t>These are the efficiency improvemets relative to Class I</t>
  </si>
  <si>
    <t xml:space="preserve">Class V 
Load </t>
  </si>
  <si>
    <t xml:space="preserve">Class VI
Weather </t>
  </si>
  <si>
    <t>CAR Expert opinion based on the range of different results</t>
  </si>
  <si>
    <t>CAR Expert opinion based on NEST study</t>
  </si>
  <si>
    <t>Salford - after tuning</t>
  </si>
  <si>
    <t>CAR expert opinion based on the list of Opentherm compatible boilers [Opentherm]</t>
  </si>
  <si>
    <t>Proportion of homes that already have smart thermostats</t>
  </si>
  <si>
    <t>This measure applies to homes with a combi boiler</t>
  </si>
  <si>
    <t>If you have a combi boiler you can control the temperature at which it supplies hot water to your taps and showers.</t>
  </si>
  <si>
    <t>Water use calculations from SAP Appendix J</t>
  </si>
  <si>
    <t>Hot water temp (initial)</t>
  </si>
  <si>
    <t>Hot water temp (final)</t>
  </si>
  <si>
    <t>Cold water temp</t>
  </si>
  <si>
    <t>Number of people</t>
  </si>
  <si>
    <t>Hot water consumption excluding showers and baths including distribution loss</t>
  </si>
  <si>
    <t>litres/day</t>
  </si>
  <si>
    <t>Energy content (initial)</t>
  </si>
  <si>
    <t>Energy content (final)</t>
  </si>
  <si>
    <t>Gas water heating efficiency</t>
  </si>
  <si>
    <t>High efficiency reduces savings</t>
  </si>
  <si>
    <t>Oil water heating effiiciency</t>
  </si>
  <si>
    <t>Proportion of homes with a gas combi boiler</t>
  </si>
  <si>
    <t>Proportion of homes with an oil combi boiler</t>
  </si>
  <si>
    <t>Add window film to all single glazed windows</t>
  </si>
  <si>
    <t>Number of participating households</t>
  </si>
  <si>
    <t>Householder savings from upgrading loft insulation kWh/year</t>
  </si>
  <si>
    <t>As a proportion of bill</t>
  </si>
  <si>
    <t xml:space="preserve">Apply savings via Multiply </t>
  </si>
  <si>
    <t>Multiplication factor for bill</t>
  </si>
  <si>
    <t>kWh savings</t>
  </si>
  <si>
    <t>£</t>
  </si>
  <si>
    <t>Salford</t>
  </si>
  <si>
    <t>v15</t>
  </si>
  <si>
    <t>New results from the Salford test house</t>
  </si>
  <si>
    <t>New format Summary</t>
  </si>
  <si>
    <t>Added packages on Summary</t>
  </si>
  <si>
    <t>Summary2 is now summary</t>
  </si>
  <si>
    <t>Proportion of homes with microbore pipes inadequate for 60°C</t>
  </si>
  <si>
    <t>Proportion of homes with microbore pipes inadequate for 55°C</t>
  </si>
  <si>
    <t>Changed  factors for microbore pipework on reducing radiator temperature</t>
  </si>
  <si>
    <t>Reduce the hot water temperature setting on your combi boiler</t>
  </si>
  <si>
    <t>SAP assumes the hot water supply is at 52°C and showers are supplied at 41°C</t>
  </si>
  <si>
    <t>Allow for useful gains in calculation of lower DHW temperature for combi boilers</t>
  </si>
  <si>
    <t>This calculation is from SAP. The distribution loss is 15% but we have halved that to allow for sone of the heat loss being useful gains that will have to be replaced by space heating.</t>
  </si>
  <si>
    <t>SAP calculates this monthly. This is an average.</t>
  </si>
  <si>
    <t>Other assumptions</t>
  </si>
  <si>
    <t>Proportion of gas boilers that are regular boilers</t>
  </si>
  <si>
    <t>Proportion of oil boilers that are regular boilers</t>
  </si>
  <si>
    <t>EHSEnergy</t>
  </si>
  <si>
    <t>Add uncertainy bands to account for scaling from England to the UK</t>
  </si>
  <si>
    <t>This measure could be applied to a) homes without TRVs, or b) homes with TRVs that are not fully utilised</t>
  </si>
  <si>
    <t>all</t>
  </si>
  <si>
    <t>Proportion of homes without TRVs</t>
  </si>
  <si>
    <t>Proportion of homes with TRVs</t>
  </si>
  <si>
    <t>Sum of added measures</t>
  </si>
  <si>
    <t>SalfordFlow</t>
  </si>
  <si>
    <t>This data is not yet published</t>
  </si>
  <si>
    <t xml:space="preserve">SalfordFlow
</t>
  </si>
  <si>
    <t>kWh/year (heat)</t>
  </si>
  <si>
    <t>Thermostatic Radiator Valves (TRVs) are now common in UK homes, but they are often left open - set to maximum temperature - and unused. This measure addresses the twin problems of a) TRVs not being installed in some homes and b) even when TRVs are installed on all radiators, they are commonly left at maximum settings. To achieve savings, TRVs should be adjusted according to household needs, with lower temperatures in bedrooms and other non-living areas. TRVs are modelled here as two separate measures - from no TRVs to with TRVs, and from TRVs on all radiators to correctly adjusted TRVs.</t>
  </si>
  <si>
    <t>The second approach used a study at the Salford Energy House (Timmins) which measured gas heating requirements at a range of external temperatures. It was not possible to achieve 18°C in the bedrooms because the heating could not modulate low enough, so the regime used was 24°C and 21°C.  At a lower temperature the savings would be a little higher, because part of the heating energy is used for hot water, and this would not be affected by TRVs.</t>
  </si>
  <si>
    <t>This is based on tests at a range of external temperatures in a test house under controlled conditions, thermostat 24C and TRVs 21C.</t>
  </si>
  <si>
    <t>Since the Timmins study was set for a 3°C difference and under 'lab conditions', e.g. with internal doors closed, we use this as the maximum saving. The low estimate reflects savings modelled in the CHM.</t>
  </si>
  <si>
    <t>Assuming 'partial adjustment' achieves 1.5°C, and the new adjustment achieves another 1.5°C lower temperature in non-living rooms.</t>
  </si>
  <si>
    <t>This measure could apply to all combi boilers with a pre-heat facility.</t>
  </si>
  <si>
    <t>In some models of boiler the pre-heat facility can be on a timer, in which case it is only on for part of the day, rather than all the time.</t>
  </si>
  <si>
    <t>SAP 10.2 models a pre-heat facility (which SAP calls 'keep-hot') as using 300 kWh/year or more, unless it is timed. If it is timed, then there may be no extra energy use, depending on the volume of flow. These figures are used in the absence of test results from actual boilers. The pre-heat can be provided by electricity instead of firing up the boiler - or a mixture of the two.</t>
  </si>
  <si>
    <t>Analysis of field data on boilers (Bennett) suggests that in practice, pre-heat facilities sometimes use less than 50 kWh/year (see chart, right) with a mean of 340 kWh/year. There is no mention of measuring electricity use for pre-heat, so it is possible that this was not included. However, the storage heat loss depends on the insulation around the store, and small values are not unreasonable.</t>
  </si>
  <si>
    <t>The Heating Hub (HHBCombi) recommends that when combi boilers do not have a pre-heat facility, a CombiSave device should be used. This restricts flow of hot water flow until it is warmed up, saving both energy and hot water. This is fitted to the hot water outlet from the boiler.</t>
  </si>
  <si>
    <t>Savings for oil combi boilers are excluded from modelling. There are very few of them (less than 1% of homes) and where they do have pre-heat capability it is implemeted in a different way, so the modelling data used here for gas would not apply.</t>
  </si>
  <si>
    <t>This measure applies to homes with a hot water cylinder that do not need all the heat stored.</t>
  </si>
  <si>
    <t>Reducing the temperature at which hot water is supplied can make energy savings because it takes less fuel to heat the water. SAP10.2 assumes that hot water for taps is supplied at 52°C and showers at 41°C.</t>
  </si>
  <si>
    <t>However, when we use a shower or fill a bath, householders mix in sufficient water to get a comfortable temperature. If we reduce the temperature for hot water householders simply add less cold and the same amount of heat overall is used.</t>
  </si>
  <si>
    <t>The distribution loss is the heat lost from pipes that deliver water to taps, when no water is flowing. SAP assumes this is 15% of the supplied water. However, we model this as half that because in the heating season those losses are useful gains, which will have to be replaced by space heating.</t>
  </si>
  <si>
    <t>Reduce DHW temperature</t>
  </si>
  <si>
    <t>This measure applies to homes with gas combi boilers, except where the pipework or radiators is inadequate for lower tow emperature. (Some households may tolerate lower temperature in very cold weather, or adjust the flow temperature when needed.)</t>
  </si>
  <si>
    <t xml:space="preserve">Reducing flow temperature is normally only possible with combi boilers. In systems with stored hot water, the controls and pipework do not allow for different temperatures for hot water versus radiators. The hot water in the cylinder needs to be heated to at least 60°C to protect against Legionella, which means higher water temperature leaving the boiler. </t>
  </si>
  <si>
    <t>We compare estimates of the efficiency gains from several sources.  In all cases flow temperature of 75°C e assumed to start with. The values for CIBSE and HeatGeekEff are taken from a chart which uses return temperature. The Heating and Hotwater Industry Council (HHIC) uses the MWT as the defining parameter. For CIBSE, values are given at different levels of load on the boiler, and here 50% load is used. The data from Salford is from tests on the Salford test house and is not yet published.</t>
  </si>
  <si>
    <t>A little less than the 7% 'other'</t>
  </si>
  <si>
    <t>Worksheets</t>
  </si>
  <si>
    <t>Overview</t>
  </si>
  <si>
    <t>An overview of our findings, drawing information from all other sheets</t>
  </si>
  <si>
    <t>Packages</t>
  </si>
  <si>
    <t>Two illustrative packages of multiple energy-saving actions. Note that in most cases savings cannot be simply added together.</t>
  </si>
  <si>
    <t>Other sheets</t>
  </si>
  <si>
    <t>Detailed discussion and calculations behind each of the Energy-Saving Actions listed in the Summary sheet</t>
  </si>
  <si>
    <t>None to 300mm*</t>
  </si>
  <si>
    <t>0- 50, to 300mm*</t>
  </si>
  <si>
    <t>50-100 to 300mm*</t>
  </si>
  <si>
    <t>If homes that already reduce flow temp should be excluded, subtract 10% from each of these, see B54</t>
  </si>
  <si>
    <t>**</t>
  </si>
  <si>
    <t>*</t>
  </si>
  <si>
    <t>***</t>
  </si>
  <si>
    <t>Retrofit filled cavity - 0.5 to 1.0</t>
  </si>
  <si>
    <t>Based on the data on external wall U-values in the CHM (see chart) we have chosen three typical U-values and classified the dwellings into three groups according to which they are closest to.</t>
  </si>
  <si>
    <t>StatsWales</t>
  </si>
  <si>
    <t>Council tax dwellings by local authorith</t>
  </si>
  <si>
    <t>https://statswales.gov.wales/Catalogue/Local-Government/Finance/Council-Tax/Dwellings/counciltaxdwellings-by-localauthority</t>
  </si>
  <si>
    <t>cf 12,930 from the CHM (England only), OFGEM uses 12,000  as a typical consumption value.</t>
  </si>
  <si>
    <t>Boiler efficiency gains</t>
  </si>
  <si>
    <t>Readjusting TRVs (1.5°C cooler for Zone 2 outside the living room)</t>
  </si>
  <si>
    <t>Installing TRVs  (1.5°C cooler for Zone 2 outside the living room)</t>
  </si>
  <si>
    <t>Adjusting TRVs that are already installed and partially adjusted, 1.5°C lower non-living rooms.</t>
  </si>
  <si>
    <t>Installing TRVs and adjusting them. High savings assume 3°C lower bedrooms, bathrooms, kitchen and halls, as in Timmins.</t>
  </si>
  <si>
    <t>Reducing the cylinder temperature to 60°C</t>
  </si>
  <si>
    <t>v16</t>
  </si>
  <si>
    <t>New data on Welsh dwellings in Assumptions</t>
  </si>
  <si>
    <t>All electric heating</t>
  </si>
  <si>
    <t>Starting from all rooms at the same temperature, adjust TRVs to 3°C cooler outside the living room</t>
  </si>
  <si>
    <t>2) If necesssary (if the number of items in the package has changed) modify the formulae in the row 'Sum of added measures' to sum the action rows and in 'Apply savings via multiply' to multiply the action rows.</t>
  </si>
  <si>
    <t>To add a package</t>
  </si>
  <si>
    <t>Copy an existing package and modify it as above.</t>
  </si>
  <si>
    <t>To modify a package</t>
  </si>
  <si>
    <t>This is the room heaters and the electric ceiling/underfloor heating systems.</t>
  </si>
  <si>
    <t>As above</t>
  </si>
  <si>
    <t>Proportion of homes with gas combi boilers that have suitable controls</t>
  </si>
  <si>
    <t>Adjustments to Northern Ireland dwellings and by heating type</t>
  </si>
  <si>
    <t>Added notes on heating types not covered in the assumptions</t>
  </si>
  <si>
    <t>Adjustment and correction to proportion of homes that can reduce flow temperatures</t>
  </si>
  <si>
    <t>Added new data and notes on Salford study/higher internal temps</t>
  </si>
  <si>
    <t>Added a note on additional savings from reducing flow temperatures where thermal comfort decrease is acceptable</t>
  </si>
  <si>
    <t>Clarified target temperatures for DHW savings in combi boilers</t>
  </si>
  <si>
    <t>Clarified assumptions and counterfactual for TRVs</t>
  </si>
  <si>
    <t>Added guidance on how to adjust the packages</t>
  </si>
  <si>
    <t>Proportion of homes with radiators where the radiators can provide comfort 
Data from [BEISDistrib] - see charts, right</t>
  </si>
  <si>
    <t>Reduce DHW temperature to 45°C (low savings), 42°C, or 40°C (high savings)</t>
  </si>
  <si>
    <t>Updated adoption parameters for Changed radiator temps</t>
  </si>
  <si>
    <t>Mean winter - bottom of confidence interval (Figure 3)</t>
  </si>
  <si>
    <t>Mean winter - top of confidence interval (Figure 3)</t>
  </si>
  <si>
    <t>See table above: 'Most Likely' is the typical winter day central estimate.</t>
  </si>
  <si>
    <t>Resulting bill proportion</t>
  </si>
  <si>
    <t>Note that this does not add up to 100%. It excludes communal heating systems and warm air systems.</t>
  </si>
  <si>
    <t>Gas (12,000 kWh/year)</t>
  </si>
  <si>
    <t>v16c</t>
  </si>
  <si>
    <t>Bill savings %age</t>
  </si>
  <si>
    <t>Electricity (multi-register)</t>
  </si>
  <si>
    <t>EnergyBillsSupport</t>
  </si>
  <si>
    <t>https://www.gov.uk/government/publications/energy-bills-support/energy-bills-support-factsheet-8-september-2022</t>
  </si>
  <si>
    <t>Energy bills support factsheet: 8 September 2022</t>
  </si>
  <si>
    <t>Updated tariffs based on the price guarantee</t>
  </si>
  <si>
    <t>Updated the proportional savings on the loft insulation measures to be calculated directlly from the CHM instead of based on the overall typical bill</t>
  </si>
  <si>
    <t>On the other hand, according to BEIS [BEISDistrib], only 75% of homes have heating systems capable of maintaining the required temperature in peak cold weather at a flow temperature of 75°C. Many homes are underheating already. Also problems with radiators due to poor hydraulic balancing, air in the system, sludge or scaling can reduce the efficacy of radiators, though it is hard to guage how widespread they are. Figures from this source inform our estimate of the number of homes with suitable capacity. The BEIS report does not mention microbore pipework, so we allow for this separately.</t>
  </si>
  <si>
    <t>Evidence base (*=weak, ***=adequate)</t>
  </si>
  <si>
    <t>Readjusting existing TRVs outside the living room to 1.5°C cooler than before</t>
  </si>
  <si>
    <t>The modelling approach starts with using the CHM to model savings from adding to the existing loft insulation, per unit area of roof. We  modelled the savings starting with six different levels of insulation and topping up to 300mm. The benefits are very large if you start with none, but they dimininish rapidly. The savings for oil-heated homes are very similar to gas homes with the same level of insulation. For electrically heated homes, the differences are a little greater, mainly due to different heating efficiency. We also used data from the CHM to determine the proportion of the stock with different levels of insulation. These proportions vary little with different fuel types.</t>
  </si>
  <si>
    <t>*Indicative gas savings are calculated by dividing kWh savings by typical gas use, with the exception of loft insulation, because homes with no loft insulation have very high gas use, which distorts the percentages.</t>
  </si>
  <si>
    <t>For England from the CHM - with uncertainty bands</t>
  </si>
  <si>
    <t>Government Price Guarantee, which applies from October 2022</t>
  </si>
  <si>
    <t>The price guarantee does not mention a separate rate for multi-register tariffs (peak and off-peak rates). We have assumed it is the same as standard tariffs.</t>
  </si>
  <si>
    <t>These estimates of energy savings were assembled by Cambridge Architectural Research in August-September 2022, under contract to Nesta, the UK innovation agency for social good. This work builds on the work CAR carried out for  the Department of Energy and Climate Change (now BEIS) in 2012. The methods are updated, and the UK housing stock is now larger and somewhat more energy efficient, so the findings are not directly comparable.
In all cases, per-dwelling energy savings are estimated using the best-available evidence, supplemented by modelling and explicit assumptions that are recorded in the worksheets here. In many cases the evidence base is limited, and likely to improve over time. This workbook is intended to be updated over time as more evidence becomes available.
There is more information about the Cambridge Housing Model, used as a starting point for some of the estimates, here:
http://tinyurl.com/HousingFactFile
There is also more information about CODE, the Cost-Optimal Domestic Electrification model, which is also used for some estimates, here:
https://www.gov.uk/government/publications/cost-optimal-domestic-electrification-code
CAR's original work quantifying energy-saving behaviours is available here:
https://www.gov.uk/government/publications/how-much-energy-could-be-saved-by-making-small-changes-to-everyday-household-behaviours</t>
  </si>
  <si>
    <t>1) Add or modify the blue rows - ensuring that the corresponding value in Column J exactly matches the text in Column A of the Summary sheet. Copy Columns B-H from the examples to fetch the savings and multiplication factors from the Summary sheet.</t>
  </si>
  <si>
    <t>The efficiency savings are the proportion by which the boiler efficiencies improve (excluding savings from lower achieve temperatures). This is calculated separately for each source, so that each estimate uses consistent assumptions.</t>
  </si>
  <si>
    <t>Heat Geek reference chart</t>
  </si>
  <si>
    <t>The secret life of boilers: Dynamic performance of residential gas boilers
heating systems – a modelling and empirical study
by
George James Bennett
UCL Energy Institute
Bartlett School of Environment, Energy and Resources
Thesis submitted for the degree of Doctor of Philosophy in
Energy and the Built Environmen</t>
  </si>
  <si>
    <t>Flow temp. (°C)</t>
  </si>
  <si>
    <t>Gas kWh</t>
  </si>
  <si>
    <t>Savings from 80°C</t>
  </si>
  <si>
    <t>Savings from 75°C</t>
  </si>
  <si>
    <t>Mean room temp.  (°C)</t>
  </si>
  <si>
    <t xml:space="preserve">We only consider gas boilers, although condensing oil combi boilers are also available. This is for two reasons. Firstly, the number of oil boilers is much smaller: only 3% of homes have oil heating,  compared to 84% with gas boilers (EHSenergy). Secondly, the potential efficiency gains are lower. This is because there is less water vapour in the flue gases from an oil boiler and so less energy lost when the vapour is not condensed. According to SAP 10.2, a condensing oil combi boiler installed post-1998 has efficiency of  84%, compared to 80% non-condensing. For the gas boiler equivalent figures are 84% and 74% . </t>
  </si>
  <si>
    <t>28/60</t>
  </si>
  <si>
    <t>5/60</t>
  </si>
  <si>
    <t>4/60</t>
  </si>
  <si>
    <t>12/60</t>
  </si>
  <si>
    <t>1/60</t>
  </si>
  <si>
    <t>28/55</t>
  </si>
  <si>
    <t>5/55</t>
  </si>
  <si>
    <t>4/55</t>
  </si>
  <si>
    <t>12/55</t>
  </si>
  <si>
    <t>1/55</t>
  </si>
  <si>
    <t>Winter from 80°C</t>
  </si>
  <si>
    <t>Spring from 80°C</t>
  </si>
  <si>
    <t>Winter from 70°C</t>
  </si>
  <si>
    <t>Spring from 70°C</t>
  </si>
  <si>
    <t>Winter from 75°C</t>
  </si>
  <si>
    <t>Spring from 75°C</t>
  </si>
  <si>
    <t>Mean/60</t>
  </si>
  <si>
    <t>Mean/55</t>
  </si>
  <si>
    <t>Flow reduced 75 to 60°C (efficiency only)</t>
  </si>
  <si>
    <t>Flow reduced 75 to 55°C  (efficiency only)</t>
  </si>
  <si>
    <t>v16f</t>
  </si>
  <si>
    <t>Added results from ESC to Reducing radiator temperatures</t>
  </si>
  <si>
    <t>Added gas savings for Reducing radiator temperatures to the final list</t>
  </si>
  <si>
    <t>The temperature of fluid leaving the boiler to circulate through radiators</t>
  </si>
  <si>
    <t>Mean water temperature, in °C, average of flow and return</t>
  </si>
  <si>
    <t>Flow temp.</t>
  </si>
  <si>
    <t>Return temp.</t>
  </si>
  <si>
    <t>Boilers and radiators are typically sized for a Delta T of 20°C. This means that a mean water temperature (MWT) of 70°C equates to 80°C on the outlet (flow temperature) and 60°C on the return. Some boilers are supposed to adjust the pump speed to maintain this temperature difference. As radiators are less effective at lower temperatures, a lower flow temperature should mean increasing the flow rate. However we cannot rely on this and so we assume the Delta T is lower: 15°C at the lower temperatures. Some references give efficiences based on mean water temperature (MWT), which is half-way between the flow and return temperature.</t>
  </si>
  <si>
    <t>Our estimates</t>
  </si>
  <si>
    <t>Heating efficiency savings Flow at 75 to 55°C</t>
  </si>
  <si>
    <t>Heating efficiency savings Flow at 75 to 60°C</t>
  </si>
  <si>
    <t>Efficiency evidence summary</t>
  </si>
  <si>
    <t>In practice, the reduced flow temperature will also lead to longer heating up times. How much longer depends on the radiator sizes and other characteristics of the house and heating system. If heating up time is significantly longer, because of the reduced radiator output, then the average temperature is also lower and heat loss is reduced, yielding additional energy savings. Some homes may not reach the desired temperature at all on very cold days. This also means a reduction in thermal comfort but if it is acceptable to the household, then the effect is similar to reducing the thermostsat setting. The Salford tests and the Energy Systems Catapult modelling (see below) reported overall gas savings - including the temperature effect - but the evidence for quantifying the effect is still weak because  it depends on initial radiator oversizing and other unknowns. We estimate savings in two ways: a) based on efficiency savings alone and b) taking account of the reduced temperature.</t>
  </si>
  <si>
    <t>The temperuture of fluid coming back from radiators to the boiler</t>
  </si>
  <si>
    <t>Heat Geek assumes lower efficiencies at high temperatures, and a steeper improvement than the other sources (see graph, right).</t>
  </si>
  <si>
    <t xml:space="preserve">Gas savings - Salford </t>
  </si>
  <si>
    <t>Gas savings - Energy Systems Catapult modelling (based on data provided before publication)</t>
  </si>
  <si>
    <t>These figures are averaged from cases with no limit on setback temperature</t>
  </si>
  <si>
    <t>Annual average 
(2/3 winter)</t>
  </si>
  <si>
    <t>Archetype ID/Radiator flow temperature</t>
  </si>
  <si>
    <t>Percentage gas savings</t>
  </si>
  <si>
    <t>These are the average of the results from HHIC, CIBSE, HeatGeek and Salford for efficiency only.</t>
  </si>
  <si>
    <t>The 'Most likely' estimate is the Salford result as this is the only case based on physical tests. This is only one house. The ESC modelled results are somewhat higher.</t>
  </si>
  <si>
    <t>The 'Low' result is the average of the most likely and the efficiency-only estimate. High savings are 10% more than most likely.</t>
  </si>
  <si>
    <t>UK Stock total energy savings TWh/year</t>
  </si>
  <si>
    <t>No upfront cost (Combi boiler)</t>
  </si>
  <si>
    <t>Close curtains at night</t>
  </si>
  <si>
    <t>No upfront cost (System boiler)</t>
  </si>
  <si>
    <t>Upgrade loft insulation from 50-100 mm to 300mm</t>
  </si>
  <si>
    <t>Install smart thermostat</t>
  </si>
  <si>
    <t>Reduce flow temperature to 60C (efficiency only)</t>
  </si>
  <si>
    <t>Resulting total savings/ household</t>
  </si>
  <si>
    <t>High bill savings (Combi Boiler)</t>
  </si>
  <si>
    <t>Install TRVs and ajust them to 3°C cooler outside the living room</t>
  </si>
  <si>
    <t>High bill savings (System Boiler)</t>
  </si>
  <si>
    <t>Reduce the cylinder temperature to 60°C</t>
  </si>
  <si>
    <t>Resulting total yearly savings/ household</t>
  </si>
  <si>
    <t>%</t>
  </si>
  <si>
    <t>UK Stock total energy savings £ (medium only)</t>
  </si>
  <si>
    <t>Thermal comfort</t>
  </si>
  <si>
    <t>Gas savings (comfort reduction) from reducing Flow from 75 to 60°C</t>
  </si>
  <si>
    <t>Gas savings (including comfort reduction) from reducing Flow from 75 to 55°C</t>
  </si>
  <si>
    <t>Flow reduced 75 to 60°C (efficiency and comfort reduction)</t>
  </si>
  <si>
    <t>Flow reduced 75 to 55°C  (efficiency and comfort reduction)</t>
  </si>
  <si>
    <t>comfort reduction</t>
  </si>
  <si>
    <t>… to Flow 60°C (same indoor temp)</t>
  </si>
  <si>
    <t>… to Flow 55°C (same indoor temp)</t>
  </si>
  <si>
    <t>… to Flow 60°C (lower indoor temp)</t>
  </si>
  <si>
    <t>… to Flow 55°C (lower indoor temp)</t>
  </si>
  <si>
    <t>Reduce flow temperature to 55C (lower indoor temp)</t>
  </si>
  <si>
    <t>Install TRVs and adjust them to 3°C cooler outside the living room</t>
  </si>
  <si>
    <t>Reduce flow temperature to 55°C (lower indoor temp)</t>
  </si>
  <si>
    <t>According to the ONS, 10% of adults say they have already turned down the flow temperature on their boiler. So some of this potential uptake is already in place.</t>
  </si>
  <si>
    <t>Some combi boilers have a 'pre-heat' facility which means they keep the heat exchanger constantly warm. This means that hot water can be provided from the boiler more quickly. (There is still a wait for water that has cooled in the pipework to pass through.)</t>
  </si>
  <si>
    <t xml:space="preserve">The heat exchanger cools down over time, and the combi boiler has to turn on to heat it up again. However, depending on the location of the boiler, during the heating season the heat loss contributes to useful internal gains. </t>
  </si>
  <si>
    <t>Our modelling approach begins with comparing reports of energy use for the pre-heat function. We assume that a timed pre-heat uses a fraction of the same energy, based on the number of hours of the day it is on. The calculated energy savings take into account that some of the heat lost from the pre-heat store is useful heat gains, so additional space heating will be used to replace it when pre-heat is turned off. Most boilers are more efficient providing space heating than hot water.</t>
  </si>
  <si>
    <t>Dwellings with a hot water cylinder should be thermostatically controlled and on a timer, so that water is not heated unnecessarily.</t>
  </si>
  <si>
    <t>It is usual to heat it to at least 60°C to kill any bacteria such as those that cause Legionnaires disease.  However this does not have to be done every day - once a week would be sufficient, if the controls allow. Such controls are common with heat pumps but not with conventional boilers. Lower temperatures avoid the risk of scalding with water from the taps. Alternatively this can be mitigated using a thermostatic mixer valve on the outlet from the cylinder, or taps/shower head.</t>
  </si>
  <si>
    <t>We have estimated household savings from a lower temperature too, with a weekly sterilisation cycle. However, this is not taken forward to the summary as it not possible  with standard controls. It is possible that even higher savings could be achieved if the controls allowed lower boiler flow temperatures to the cylinder too.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</si>
</sst>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quot;#,##0.00_);[Red]\(&quot;£&quot;#,##0.00\)"/>
    <numFmt numFmtId="43" formatCode="_(* #,##0.00_);_(* \(#,##0.00\);_(* &quot;-&quot;??_);_(@_)"/>
    <numFmt numFmtId="164" formatCode="_-* #,##0.00_-;\-* #,##0.00_-;_-* &quot;-&quot;??_-;_-@_-"/>
    <numFmt numFmtId="165" formatCode="#,##0_ ;\-#,##0\ "/>
    <numFmt numFmtId="166" formatCode="0.000"/>
    <numFmt numFmtId="167" formatCode="0.0%"/>
    <numFmt numFmtId="168" formatCode="0.0"/>
    <numFmt numFmtId="169" formatCode="_-* #,##0_-;\-* #,##0_-;_-* &quot;-&quot;??_-;_-@_-"/>
    <numFmt numFmtId="170" formatCode="&quot;£&quot;#,##0"/>
    <numFmt numFmtId="171" formatCode="#,##0.0_);[Red]\(#,##0.0\)"/>
    <numFmt numFmtId="172" formatCode="#,##0.000"/>
    <numFmt numFmtId="173" formatCode="&quot;£&quot;#,##0.00"/>
    <numFmt numFmtId="174" formatCode="0.000%"/>
    <numFmt numFmtId="175" formatCode="#,##0.0"/>
  </numFmts>
  <fonts count="33">
    <font>
      <sz val="12"/>
      <color theme="1"/>
      <name val="Calibri"/>
      <family val="2"/>
      <scheme val="minor"/>
    </font>
    <font>
      <sz val="11"/>
      <color theme="1"/>
      <name val="Calibri"/>
      <family val="2"/>
      <scheme val="minor"/>
    </font>
    <font>
      <b/>
      <sz val="12"/>
      <color theme="1"/>
      <name val="Calibri"/>
      <family val="2"/>
      <scheme val="minor"/>
    </font>
    <font>
      <sz val="10"/>
      <name val="Arial"/>
      <family val="2"/>
    </font>
    <font>
      <u/>
      <sz val="12"/>
      <color theme="10"/>
      <name val="Calibri"/>
      <family val="2"/>
      <scheme val="minor"/>
    </font>
    <font>
      <sz val="12"/>
      <color theme="0" tint="-0.34998626667073579"/>
      <name val="Calibri"/>
      <family val="2"/>
      <scheme val="minor"/>
    </font>
    <font>
      <sz val="12"/>
      <color rgb="FF000000"/>
      <name val="Calibri"/>
      <family val="2"/>
      <scheme val="minor"/>
    </font>
    <font>
      <sz val="12"/>
      <name val="Calibri"/>
      <family val="2"/>
      <scheme val="minor"/>
    </font>
    <font>
      <sz val="12"/>
      <color rgb="FFFF0000"/>
      <name val="Calibri"/>
      <family val="2"/>
      <scheme val="minor"/>
    </font>
    <font>
      <b/>
      <sz val="10"/>
      <name val="Arial"/>
      <family val="2"/>
    </font>
    <font>
      <sz val="12"/>
      <color theme="2"/>
      <name val="Calibri"/>
      <family val="2"/>
      <scheme val="minor"/>
    </font>
    <font>
      <sz val="12"/>
      <color theme="1"/>
      <name val="Calibri"/>
      <family val="2"/>
      <scheme val="minor"/>
    </font>
    <font>
      <sz val="12"/>
      <color theme="0" tint="-0.14999847407452621"/>
      <name val="Calibri"/>
      <family val="2"/>
      <scheme val="minor"/>
    </font>
    <font>
      <b/>
      <sz val="12"/>
      <name val="Calibri"/>
      <family val="2"/>
      <scheme val="minor"/>
    </font>
    <font>
      <vertAlign val="superscript"/>
      <sz val="12"/>
      <color theme="1"/>
      <name val="Calibri"/>
      <family val="2"/>
      <scheme val="minor"/>
    </font>
    <font>
      <sz val="12"/>
      <color theme="4"/>
      <name val="Calibri"/>
      <family val="2"/>
      <scheme val="minor"/>
    </font>
    <font>
      <b/>
      <sz val="12"/>
      <color theme="4"/>
      <name val="Calibri"/>
      <family val="2"/>
      <scheme val="minor"/>
    </font>
    <font>
      <b/>
      <i/>
      <sz val="12"/>
      <color theme="4"/>
      <name val="Calibri"/>
      <family val="2"/>
      <scheme val="minor"/>
    </font>
    <font>
      <sz val="12"/>
      <color theme="1"/>
      <name val="TimesNewRomanPSMT"/>
    </font>
    <font>
      <b/>
      <sz val="12"/>
      <color rgb="FF000000"/>
      <name val="Calibri"/>
      <family val="2"/>
      <scheme val="minor"/>
    </font>
    <font>
      <i/>
      <sz val="12"/>
      <name val="Calibri"/>
      <family val="2"/>
      <scheme val="minor"/>
    </font>
    <font>
      <b/>
      <sz val="12"/>
      <color theme="1" tint="0.249977111117893"/>
      <name val="Calibri"/>
      <family val="2"/>
      <scheme val="minor"/>
    </font>
    <font>
      <sz val="10"/>
      <color rgb="FF000000"/>
      <name val="Tahoma"/>
      <family val="2"/>
    </font>
    <font>
      <b/>
      <sz val="10"/>
      <color rgb="FF000000"/>
      <name val="Tahoma"/>
      <family val="2"/>
    </font>
    <font>
      <i/>
      <sz val="12"/>
      <color theme="1"/>
      <name val="Calibri"/>
      <family val="2"/>
      <scheme val="minor"/>
    </font>
    <font>
      <sz val="12"/>
      <color theme="0" tint="-0.249977111117893"/>
      <name val="Calibri"/>
      <family val="2"/>
      <scheme val="minor"/>
    </font>
    <font>
      <sz val="10"/>
      <color theme="1"/>
      <name val="Calibri"/>
      <family val="2"/>
      <scheme val="minor"/>
    </font>
    <font>
      <b/>
      <sz val="12"/>
      <color indexed="8"/>
      <name val="Calibri"/>
      <family val="2"/>
      <scheme val="minor"/>
    </font>
    <font>
      <sz val="8"/>
      <name val="Calibri"/>
      <family val="2"/>
    </font>
    <font>
      <b/>
      <sz val="10"/>
      <name val="Calibri"/>
      <family val="2"/>
    </font>
    <font>
      <sz val="10"/>
      <name val="Calibri"/>
      <family val="2"/>
    </font>
    <font>
      <sz val="9"/>
      <name val="Calibri"/>
      <family val="2"/>
    </font>
    <font>
      <sz val="12"/>
      <color theme="8" tint="0.39997558519241921"/>
      <name val="Calibri"/>
      <family val="2"/>
      <scheme val="minor"/>
    </font>
  </fonts>
  <fills count="21">
    <fill>
      <patternFill patternType="none"/>
    </fill>
    <fill>
      <patternFill patternType="gray125"/>
    </fill>
    <fill>
      <patternFill patternType="solid">
        <fgColor rgb="FFFFFFFF"/>
        <bgColor rgb="FF000000"/>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theme="7" tint="0.79998168889431442"/>
        <bgColor rgb="FF000000"/>
      </patternFill>
    </fill>
    <fill>
      <patternFill patternType="solid">
        <fgColor theme="9" tint="0.39997558519241921"/>
        <bgColor indexed="64"/>
      </patternFill>
    </fill>
    <fill>
      <patternFill patternType="solid">
        <fgColor theme="9" tint="0.39997558519241921"/>
        <bgColor rgb="FF000000"/>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79998168889431442"/>
        <bgColor indexed="9"/>
      </patternFill>
    </fill>
    <fill>
      <patternFill patternType="solid">
        <fgColor rgb="FFA9D08E"/>
        <bgColor rgb="FF000000"/>
      </patternFill>
    </fill>
    <fill>
      <patternFill patternType="solid">
        <fgColor rgb="FFE2EFDA"/>
        <bgColor rgb="FF000000"/>
      </patternFill>
    </fill>
    <fill>
      <patternFill patternType="solid">
        <fgColor theme="9" tint="0.79998168889431442"/>
        <bgColor rgb="FF000000"/>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bgColor indexed="64"/>
      </patternFill>
    </fill>
  </fills>
  <borders count="2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164" fontId="3" fillId="0" borderId="0" applyFont="0" applyFill="0" applyBorder="0" applyAlignment="0" applyProtection="0"/>
    <xf numFmtId="0" fontId="4" fillId="0" borderId="0" applyNumberFormat="0" applyFill="0" applyBorder="0" applyAlignment="0" applyProtection="0"/>
    <xf numFmtId="164" fontId="11" fillId="0" borderId="0" applyFont="0" applyFill="0" applyBorder="0" applyAlignment="0" applyProtection="0"/>
    <xf numFmtId="9" fontId="11" fillId="0" borderId="0" applyFont="0" applyFill="0" applyBorder="0" applyAlignment="0" applyProtection="0"/>
    <xf numFmtId="0" fontId="1" fillId="0" borderId="0"/>
  </cellStyleXfs>
  <cellXfs count="925">
    <xf numFmtId="0" fontId="0" fillId="0" borderId="0" xfId="0"/>
    <xf numFmtId="3" fontId="3" fillId="2" borderId="0" xfId="0" applyNumberFormat="1" applyFont="1" applyFill="1" applyAlignment="1">
      <alignment horizontal="right"/>
    </xf>
    <xf numFmtId="9" fontId="0" fillId="0" borderId="0" xfId="0" applyNumberFormat="1"/>
    <xf numFmtId="10" fontId="0" fillId="0" borderId="0" xfId="0" applyNumberFormat="1"/>
    <xf numFmtId="0" fontId="0" fillId="0" borderId="0" xfId="0" applyAlignment="1">
      <alignment horizontal="left" vertical="center" wrapText="1"/>
    </xf>
    <xf numFmtId="0" fontId="2" fillId="0" borderId="0" xfId="0" applyFont="1" applyAlignment="1">
      <alignment vertical="center" wrapText="1"/>
    </xf>
    <xf numFmtId="0" fontId="0" fillId="0" borderId="0" xfId="0" applyAlignment="1">
      <alignment vertical="center" wrapText="1"/>
    </xf>
    <xf numFmtId="166" fontId="0" fillId="0" borderId="0" xfId="0" applyNumberFormat="1"/>
    <xf numFmtId="0" fontId="0" fillId="0" borderId="1" xfId="0" applyBorder="1"/>
    <xf numFmtId="0" fontId="0" fillId="0" borderId="5" xfId="0" applyBorder="1" applyAlignment="1">
      <alignment vertical="center" wrapText="1"/>
    </xf>
    <xf numFmtId="0" fontId="6" fillId="0" borderId="0" xfId="0" applyFont="1" applyAlignment="1">
      <alignment vertical="center" wrapText="1"/>
    </xf>
    <xf numFmtId="0" fontId="0" fillId="4" borderId="0" xfId="0" applyFill="1" applyAlignment="1">
      <alignment vertical="center" wrapText="1"/>
    </xf>
    <xf numFmtId="0" fontId="0" fillId="4" borderId="0" xfId="0" applyFill="1"/>
    <xf numFmtId="0" fontId="0" fillId="0" borderId="0" xfId="0" applyAlignment="1">
      <alignment wrapText="1"/>
    </xf>
    <xf numFmtId="0" fontId="7" fillId="0" borderId="0" xfId="0" applyFont="1"/>
    <xf numFmtId="0" fontId="2" fillId="7" borderId="0" xfId="0" applyFont="1" applyFill="1" applyAlignment="1">
      <alignment wrapText="1"/>
    </xf>
    <xf numFmtId="0" fontId="0" fillId="7" borderId="0" xfId="0" applyFill="1"/>
    <xf numFmtId="0" fontId="2" fillId="7" borderId="0" xfId="0" applyFont="1" applyFill="1" applyAlignment="1">
      <alignment vertical="center" wrapText="1"/>
    </xf>
    <xf numFmtId="0" fontId="0" fillId="4" borderId="0" xfId="0" applyFill="1" applyAlignment="1">
      <alignment wrapText="1"/>
    </xf>
    <xf numFmtId="0" fontId="2" fillId="0" borderId="0" xfId="0" applyFont="1"/>
    <xf numFmtId="0" fontId="2" fillId="7" borderId="0" xfId="0" applyFont="1" applyFill="1"/>
    <xf numFmtId="0" fontId="8" fillId="0" borderId="0" xfId="0" applyFont="1"/>
    <xf numFmtId="0" fontId="0" fillId="0" borderId="7" xfId="0" applyBorder="1" applyAlignment="1">
      <alignment vertical="center" wrapText="1"/>
    </xf>
    <xf numFmtId="0" fontId="10" fillId="0" borderId="0" xfId="0" applyFont="1"/>
    <xf numFmtId="166" fontId="10" fillId="0" borderId="0" xfId="0" applyNumberFormat="1" applyFont="1"/>
    <xf numFmtId="0" fontId="0" fillId="0" borderId="0" xfId="0" applyAlignment="1">
      <alignment horizontal="center"/>
    </xf>
    <xf numFmtId="0" fontId="0" fillId="0" borderId="6" xfId="0" applyBorder="1" applyAlignment="1">
      <alignment horizontal="center"/>
    </xf>
    <xf numFmtId="9" fontId="0" fillId="9" borderId="7" xfId="0" applyNumberFormat="1" applyFill="1" applyBorder="1" applyAlignment="1">
      <alignment horizontal="center" vertical="center"/>
    </xf>
    <xf numFmtId="9" fontId="0" fillId="9" borderId="1" xfId="0" applyNumberFormat="1" applyFill="1" applyBorder="1" applyAlignment="1">
      <alignment horizontal="center" vertical="center"/>
    </xf>
    <xf numFmtId="9" fontId="0" fillId="9" borderId="8" xfId="0" applyNumberForma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wrapText="1"/>
    </xf>
    <xf numFmtId="0" fontId="5" fillId="0" borderId="0" xfId="0" applyFont="1" applyAlignment="1">
      <alignment horizontal="center"/>
    </xf>
    <xf numFmtId="166" fontId="0" fillId="3" borderId="0" xfId="0" applyNumberFormat="1" applyFill="1" applyAlignment="1">
      <alignment horizontal="center"/>
    </xf>
    <xf numFmtId="166" fontId="0" fillId="0" borderId="0" xfId="0" applyNumberFormat="1" applyAlignment="1">
      <alignment horizontal="center"/>
    </xf>
    <xf numFmtId="0" fontId="0" fillId="0" borderId="1" xfId="0" applyBorder="1" applyAlignment="1">
      <alignment horizontal="center"/>
    </xf>
    <xf numFmtId="0" fontId="0" fillId="0" borderId="8" xfId="0" applyBorder="1" applyAlignment="1">
      <alignment horizontal="center"/>
    </xf>
    <xf numFmtId="167" fontId="0" fillId="0" borderId="0" xfId="0" applyNumberFormat="1" applyAlignment="1">
      <alignment horizontal="center"/>
    </xf>
    <xf numFmtId="167" fontId="0" fillId="0" borderId="7" xfId="0" applyNumberFormat="1" applyBorder="1" applyAlignment="1">
      <alignment horizontal="center"/>
    </xf>
    <xf numFmtId="167" fontId="0" fillId="0" borderId="1" xfId="0" applyNumberFormat="1" applyBorder="1" applyAlignment="1">
      <alignment horizontal="center"/>
    </xf>
    <xf numFmtId="167" fontId="0" fillId="0" borderId="8" xfId="0" applyNumberFormat="1" applyBorder="1" applyAlignment="1">
      <alignment horizontal="center"/>
    </xf>
    <xf numFmtId="3" fontId="3" fillId="8" borderId="2" xfId="0" applyNumberFormat="1" applyFont="1" applyFill="1" applyBorder="1" applyAlignment="1">
      <alignment horizontal="center"/>
    </xf>
    <xf numFmtId="0" fontId="0" fillId="7" borderId="3" xfId="0" applyFill="1" applyBorder="1" applyAlignment="1">
      <alignment horizontal="center"/>
    </xf>
    <xf numFmtId="0" fontId="0" fillId="7" borderId="4" xfId="0" applyFill="1" applyBorder="1" applyAlignment="1">
      <alignment horizontal="center"/>
    </xf>
    <xf numFmtId="0" fontId="12" fillId="0" borderId="0" xfId="0" applyFont="1" applyAlignment="1">
      <alignment horizontal="center"/>
    </xf>
    <xf numFmtId="0" fontId="12" fillId="0" borderId="0" xfId="0" applyFont="1"/>
    <xf numFmtId="0" fontId="2" fillId="4" borderId="6" xfId="0" applyFont="1" applyFill="1" applyBorder="1" applyAlignment="1">
      <alignment horizontal="center" vertical="center"/>
    </xf>
    <xf numFmtId="0" fontId="7" fillId="0" borderId="0" xfId="0" applyFont="1" applyAlignment="1">
      <alignment vertical="center" wrapText="1"/>
    </xf>
    <xf numFmtId="167" fontId="0" fillId="0" borderId="2" xfId="0" applyNumberFormat="1" applyBorder="1" applyAlignment="1">
      <alignment horizontal="center"/>
    </xf>
    <xf numFmtId="167" fontId="0" fillId="0" borderId="3" xfId="0" applyNumberFormat="1" applyBorder="1" applyAlignment="1">
      <alignment horizontal="center"/>
    </xf>
    <xf numFmtId="167" fontId="0" fillId="0" borderId="4" xfId="0" applyNumberFormat="1" applyBorder="1" applyAlignment="1">
      <alignment horizontal="center"/>
    </xf>
    <xf numFmtId="0" fontId="0" fillId="0" borderId="6" xfId="0" applyBorder="1"/>
    <xf numFmtId="0" fontId="7" fillId="0" borderId="5" xfId="0" applyFont="1" applyBorder="1" applyAlignment="1">
      <alignment vertical="center" wrapText="1"/>
    </xf>
    <xf numFmtId="0" fontId="0" fillId="7" borderId="0" xfId="0" applyFill="1" applyAlignment="1">
      <alignment vertical="center" wrapText="1"/>
    </xf>
    <xf numFmtId="0" fontId="0" fillId="9" borderId="0" xfId="0" applyFill="1" applyAlignment="1">
      <alignment vertical="center" wrapText="1"/>
    </xf>
    <xf numFmtId="9" fontId="0" fillId="3" borderId="0" xfId="0" applyNumberFormat="1" applyFill="1" applyAlignment="1">
      <alignment horizontal="center"/>
    </xf>
    <xf numFmtId="9" fontId="0" fillId="0" borderId="0" xfId="0" applyNumberFormat="1" applyAlignment="1">
      <alignment horizontal="center"/>
    </xf>
    <xf numFmtId="3" fontId="9" fillId="8" borderId="2" xfId="0" applyNumberFormat="1" applyFont="1" applyFill="1" applyBorder="1" applyAlignment="1">
      <alignment horizontal="center"/>
    </xf>
    <xf numFmtId="0" fontId="2" fillId="7" borderId="3" xfId="0" applyFont="1" applyFill="1" applyBorder="1" applyAlignment="1">
      <alignment horizontal="center"/>
    </xf>
    <xf numFmtId="0" fontId="2" fillId="7" borderId="4" xfId="0" applyFont="1" applyFill="1" applyBorder="1" applyAlignment="1">
      <alignment horizontal="center"/>
    </xf>
    <xf numFmtId="0" fontId="2" fillId="7" borderId="2" xfId="0" applyFont="1" applyFill="1" applyBorder="1" applyAlignment="1">
      <alignment horizontal="center"/>
    </xf>
    <xf numFmtId="9" fontId="0" fillId="3" borderId="5" xfId="0" applyNumberFormat="1" applyFill="1" applyBorder="1" applyAlignment="1">
      <alignment horizontal="center"/>
    </xf>
    <xf numFmtId="9" fontId="0" fillId="3" borderId="6" xfId="0" applyNumberFormat="1" applyFill="1" applyBorder="1" applyAlignment="1">
      <alignment horizontal="center"/>
    </xf>
    <xf numFmtId="9" fontId="0" fillId="0" borderId="5" xfId="0" applyNumberFormat="1" applyBorder="1" applyAlignment="1">
      <alignment horizontal="center"/>
    </xf>
    <xf numFmtId="9" fontId="0" fillId="0" borderId="6" xfId="0" applyNumberFormat="1" applyBorder="1" applyAlignment="1">
      <alignment horizontal="center"/>
    </xf>
    <xf numFmtId="0" fontId="0" fillId="0" borderId="4" xfId="0" applyBorder="1"/>
    <xf numFmtId="0" fontId="0" fillId="0" borderId="8" xfId="0" applyBorder="1"/>
    <xf numFmtId="0" fontId="0" fillId="0" borderId="0" xfId="0" applyAlignment="1">
      <alignment vertical="center"/>
    </xf>
    <xf numFmtId="0" fontId="0" fillId="7" borderId="2" xfId="0" applyFill="1" applyBorder="1" applyAlignment="1">
      <alignment vertical="center" wrapText="1"/>
    </xf>
    <xf numFmtId="3" fontId="3" fillId="0" borderId="0" xfId="0" applyNumberFormat="1" applyFont="1" applyAlignment="1">
      <alignment horizontal="center"/>
    </xf>
    <xf numFmtId="9" fontId="0" fillId="3" borderId="7" xfId="0" applyNumberFormat="1" applyFill="1" applyBorder="1" applyAlignment="1">
      <alignment horizontal="center"/>
    </xf>
    <xf numFmtId="9" fontId="0" fillId="3" borderId="1" xfId="0" applyNumberFormat="1" applyFill="1" applyBorder="1" applyAlignment="1">
      <alignment horizontal="center"/>
    </xf>
    <xf numFmtId="9" fontId="0" fillId="3" borderId="8" xfId="0" applyNumberFormat="1" applyFill="1" applyBorder="1" applyAlignment="1">
      <alignment horizontal="center"/>
    </xf>
    <xf numFmtId="170" fontId="0" fillId="9" borderId="7" xfId="0" applyNumberFormat="1" applyFill="1" applyBorder="1" applyAlignment="1">
      <alignment horizontal="center" vertical="center"/>
    </xf>
    <xf numFmtId="170" fontId="0" fillId="9" borderId="1" xfId="0" applyNumberFormat="1" applyFill="1" applyBorder="1" applyAlignment="1">
      <alignment horizontal="center" vertical="center"/>
    </xf>
    <xf numFmtId="170" fontId="0" fillId="9" borderId="8" xfId="0" applyNumberFormat="1" applyFill="1" applyBorder="1" applyAlignment="1">
      <alignment horizontal="center" vertical="center"/>
    </xf>
    <xf numFmtId="0" fontId="0" fillId="11" borderId="0" xfId="0" applyFill="1" applyAlignment="1">
      <alignment wrapText="1"/>
    </xf>
    <xf numFmtId="0" fontId="0" fillId="11" borderId="0" xfId="0" applyFill="1"/>
    <xf numFmtId="0" fontId="15" fillId="11" borderId="0" xfId="0" applyFont="1" applyFill="1" applyAlignment="1">
      <alignment wrapText="1"/>
    </xf>
    <xf numFmtId="0" fontId="15" fillId="11" borderId="0" xfId="0" applyFont="1" applyFill="1"/>
    <xf numFmtId="0" fontId="16" fillId="11" borderId="0" xfId="0" applyFont="1" applyFill="1" applyAlignment="1">
      <alignment wrapText="1"/>
    </xf>
    <xf numFmtId="0" fontId="16" fillId="11" borderId="0" xfId="0" applyFont="1" applyFill="1"/>
    <xf numFmtId="0" fontId="16" fillId="0" borderId="2" xfId="0" applyFont="1" applyBorder="1"/>
    <xf numFmtId="0" fontId="16" fillId="0" borderId="3" xfId="0" applyFont="1" applyBorder="1" applyAlignment="1">
      <alignment horizontal="center"/>
    </xf>
    <xf numFmtId="0" fontId="16" fillId="0" borderId="3" xfId="0" applyFont="1" applyBorder="1" applyAlignment="1">
      <alignment horizontal="center" wrapText="1"/>
    </xf>
    <xf numFmtId="0" fontId="16" fillId="0" borderId="4" xfId="0" applyFont="1" applyBorder="1" applyAlignment="1">
      <alignment horizontal="center"/>
    </xf>
    <xf numFmtId="0" fontId="15" fillId="0" borderId="5" xfId="0" applyFont="1" applyBorder="1"/>
    <xf numFmtId="0" fontId="15" fillId="0" borderId="0" xfId="0" applyFont="1" applyAlignment="1">
      <alignment horizontal="center"/>
    </xf>
    <xf numFmtId="166" fontId="15" fillId="0" borderId="0" xfId="0" applyNumberFormat="1" applyFont="1" applyAlignment="1">
      <alignment horizontal="center"/>
    </xf>
    <xf numFmtId="0" fontId="15" fillId="0" borderId="6" xfId="0" applyFont="1" applyBorder="1" applyAlignment="1">
      <alignment horizontal="center"/>
    </xf>
    <xf numFmtId="0" fontId="15" fillId="0" borderId="5" xfId="0" quotePrefix="1" applyFont="1" applyBorder="1"/>
    <xf numFmtId="167" fontId="15" fillId="0" borderId="6" xfId="0" applyNumberFormat="1" applyFont="1" applyBorder="1" applyAlignment="1">
      <alignment horizontal="center"/>
    </xf>
    <xf numFmtId="0" fontId="15" fillId="0" borderId="5" xfId="0" quotePrefix="1" applyFont="1" applyBorder="1" applyAlignment="1">
      <alignment wrapText="1"/>
    </xf>
    <xf numFmtId="0" fontId="15" fillId="0" borderId="7" xfId="0" quotePrefix="1" applyFont="1" applyBorder="1" applyAlignment="1">
      <alignment wrapText="1"/>
    </xf>
    <xf numFmtId="0" fontId="15" fillId="0" borderId="1" xfId="0" applyFont="1" applyBorder="1" applyAlignment="1">
      <alignment horizontal="center"/>
    </xf>
    <xf numFmtId="166" fontId="15" fillId="0" borderId="1" xfId="0" applyNumberFormat="1" applyFont="1" applyBorder="1" applyAlignment="1">
      <alignment horizontal="center"/>
    </xf>
    <xf numFmtId="167" fontId="15" fillId="0" borderId="8" xfId="0" applyNumberFormat="1" applyFont="1" applyBorder="1" applyAlignment="1">
      <alignment horizontal="center"/>
    </xf>
    <xf numFmtId="0" fontId="15" fillId="0" borderId="5" xfId="0" applyFont="1" applyBorder="1" applyAlignment="1">
      <alignment wrapText="1"/>
    </xf>
    <xf numFmtId="168" fontId="15" fillId="0" borderId="0" xfId="0" applyNumberFormat="1" applyFont="1" applyAlignment="1">
      <alignment horizontal="center"/>
    </xf>
    <xf numFmtId="166" fontId="15" fillId="0" borderId="6" xfId="0" applyNumberFormat="1" applyFont="1" applyBorder="1" applyAlignment="1">
      <alignment horizontal="center"/>
    </xf>
    <xf numFmtId="0" fontId="15" fillId="0" borderId="7" xfId="0" applyFont="1" applyBorder="1" applyAlignment="1">
      <alignment wrapText="1"/>
    </xf>
    <xf numFmtId="168" fontId="15" fillId="0" borderId="1" xfId="0" applyNumberFormat="1" applyFont="1" applyBorder="1" applyAlignment="1">
      <alignment horizontal="center"/>
    </xf>
    <xf numFmtId="166" fontId="15" fillId="0" borderId="8" xfId="0" applyNumberFormat="1" applyFont="1" applyBorder="1" applyAlignment="1">
      <alignment horizontal="center"/>
    </xf>
    <xf numFmtId="0" fontId="15" fillId="11" borderId="15" xfId="0" applyFont="1" applyFill="1" applyBorder="1" applyAlignment="1">
      <alignment vertical="top" wrapText="1"/>
    </xf>
    <xf numFmtId="0" fontId="17" fillId="11" borderId="0" xfId="0" applyFont="1" applyFill="1" applyAlignment="1">
      <alignment wrapText="1"/>
    </xf>
    <xf numFmtId="0" fontId="0" fillId="7" borderId="0" xfId="0" applyFill="1" applyAlignment="1">
      <alignment vertical="center"/>
    </xf>
    <xf numFmtId="0" fontId="0" fillId="7" borderId="0" xfId="0" applyFill="1" applyAlignment="1">
      <alignment horizontal="center" vertical="center"/>
    </xf>
    <xf numFmtId="168" fontId="0" fillId="4" borderId="0" xfId="0" applyNumberFormat="1" applyFill="1" applyAlignment="1">
      <alignment horizontal="center" vertical="center"/>
    </xf>
    <xf numFmtId="0" fontId="0" fillId="4" borderId="0" xfId="0" applyFill="1" applyAlignment="1">
      <alignment horizontal="center" vertical="center"/>
    </xf>
    <xf numFmtId="166" fontId="0" fillId="4" borderId="0" xfId="0" applyNumberFormat="1" applyFill="1" applyAlignment="1">
      <alignment horizontal="center" vertical="center"/>
    </xf>
    <xf numFmtId="167" fontId="0" fillId="4" borderId="0" xfId="0" applyNumberFormat="1" applyFill="1" applyAlignment="1">
      <alignment horizontal="center" vertical="center"/>
    </xf>
    <xf numFmtId="0" fontId="2" fillId="7" borderId="0" xfId="0" applyFont="1" applyFill="1" applyAlignment="1">
      <alignment vertical="center"/>
    </xf>
    <xf numFmtId="169" fontId="0" fillId="3" borderId="0" xfId="0" applyNumberFormat="1" applyFill="1" applyAlignment="1">
      <alignment vertical="center"/>
    </xf>
    <xf numFmtId="0" fontId="4" fillId="0" borderId="0" xfId="2" applyBorder="1" applyAlignment="1">
      <alignment vertical="center"/>
    </xf>
    <xf numFmtId="0" fontId="2" fillId="7" borderId="0" xfId="0" applyFont="1" applyFill="1" applyAlignment="1">
      <alignment horizontal="center" vertical="center"/>
    </xf>
    <xf numFmtId="17" fontId="0" fillId="0" borderId="0" xfId="0" applyNumberFormat="1" applyAlignment="1">
      <alignment horizontal="center"/>
    </xf>
    <xf numFmtId="0" fontId="0" fillId="7" borderId="0" xfId="0" applyFill="1" applyAlignment="1">
      <alignment horizontal="center" vertical="center" wrapText="1"/>
    </xf>
    <xf numFmtId="168" fontId="3" fillId="0" borderId="0" xfId="0" applyNumberFormat="1" applyFont="1" applyAlignment="1">
      <alignment horizontal="right"/>
    </xf>
    <xf numFmtId="0" fontId="4" fillId="0" borderId="0" xfId="2"/>
    <xf numFmtId="0" fontId="0" fillId="7" borderId="12" xfId="0" applyFill="1" applyBorder="1"/>
    <xf numFmtId="0" fontId="0" fillId="7" borderId="4" xfId="0" applyFill="1" applyBorder="1"/>
    <xf numFmtId="49" fontId="0" fillId="0" borderId="0" xfId="0" applyNumberFormat="1" applyAlignment="1">
      <alignment wrapText="1"/>
    </xf>
    <xf numFmtId="49" fontId="2" fillId="0" borderId="0" xfId="0" applyNumberFormat="1" applyFont="1" applyAlignment="1">
      <alignment wrapText="1"/>
    </xf>
    <xf numFmtId="1" fontId="0" fillId="0" borderId="0" xfId="0" applyNumberFormat="1"/>
    <xf numFmtId="49" fontId="2" fillId="7" borderId="0" xfId="0" applyNumberFormat="1" applyFont="1" applyFill="1" applyAlignment="1">
      <alignment vertical="center" wrapText="1"/>
    </xf>
    <xf numFmtId="167" fontId="0" fillId="0" borderId="0" xfId="0" applyNumberFormat="1"/>
    <xf numFmtId="3" fontId="0" fillId="0" borderId="0" xfId="0" applyNumberFormat="1"/>
    <xf numFmtId="0" fontId="4" fillId="0" borderId="0" xfId="2" applyAlignment="1">
      <alignment vertical="center"/>
    </xf>
    <xf numFmtId="2" fontId="0" fillId="0" borderId="0" xfId="0" applyNumberFormat="1"/>
    <xf numFmtId="168" fontId="0" fillId="0" borderId="0" xfId="0" applyNumberFormat="1"/>
    <xf numFmtId="1" fontId="0" fillId="0" borderId="0" xfId="0" applyNumberFormat="1" applyAlignment="1">
      <alignment horizontal="right" wrapText="1"/>
    </xf>
    <xf numFmtId="49" fontId="2" fillId="4" borderId="0" xfId="0" applyNumberFormat="1" applyFont="1" applyFill="1" applyAlignment="1">
      <alignment wrapText="1"/>
    </xf>
    <xf numFmtId="0" fontId="2" fillId="4" borderId="3" xfId="0" applyFont="1" applyFill="1" applyBorder="1" applyAlignment="1">
      <alignment horizontal="center"/>
    </xf>
    <xf numFmtId="0" fontId="2" fillId="4" borderId="4" xfId="0" applyFont="1" applyFill="1" applyBorder="1" applyAlignment="1">
      <alignment horizontal="center"/>
    </xf>
    <xf numFmtId="0" fontId="2" fillId="4" borderId="0" xfId="0" applyFont="1" applyFill="1" applyAlignment="1">
      <alignment vertical="center" wrapText="1"/>
    </xf>
    <xf numFmtId="9" fontId="0" fillId="9" borderId="0" xfId="0" applyNumberFormat="1" applyFill="1" applyAlignment="1">
      <alignment horizontal="center" vertical="center"/>
    </xf>
    <xf numFmtId="0" fontId="2" fillId="4" borderId="0" xfId="0" applyFont="1" applyFill="1"/>
    <xf numFmtId="49" fontId="0" fillId="7" borderId="0" xfId="0" applyNumberFormat="1" applyFill="1" applyAlignment="1">
      <alignment wrapText="1"/>
    </xf>
    <xf numFmtId="168" fontId="3" fillId="0" borderId="0" xfId="0" applyNumberFormat="1" applyFont="1"/>
    <xf numFmtId="1" fontId="0" fillId="3" borderId="0" xfId="0" applyNumberFormat="1" applyFill="1" applyAlignment="1">
      <alignment horizontal="center" vertical="center"/>
    </xf>
    <xf numFmtId="0" fontId="0" fillId="3" borderId="0" xfId="0" applyFill="1" applyAlignment="1">
      <alignment horizontal="center" vertical="center" wrapText="1"/>
    </xf>
    <xf numFmtId="9" fontId="0" fillId="3" borderId="0" xfId="0" applyNumberFormat="1" applyFill="1" applyAlignment="1">
      <alignment horizontal="center" vertical="center" wrapText="1"/>
    </xf>
    <xf numFmtId="9" fontId="0" fillId="3" borderId="0" xfId="0" applyNumberFormat="1" applyFill="1" applyAlignment="1">
      <alignment horizontal="center" vertical="center"/>
    </xf>
    <xf numFmtId="169" fontId="0" fillId="0" borderId="0" xfId="3" applyNumberFormat="1" applyFont="1"/>
    <xf numFmtId="0" fontId="8" fillId="0" borderId="0" xfId="0" applyFont="1" applyAlignment="1">
      <alignment vertical="top" wrapText="1"/>
    </xf>
    <xf numFmtId="0" fontId="0" fillId="3" borderId="0" xfId="0" applyFill="1" applyAlignment="1">
      <alignment vertical="center"/>
    </xf>
    <xf numFmtId="0" fontId="0" fillId="3" borderId="6" xfId="0" applyFill="1" applyBorder="1"/>
    <xf numFmtId="171" fontId="0" fillId="0" borderId="0" xfId="0" applyNumberFormat="1"/>
    <xf numFmtId="0" fontId="0" fillId="9" borderId="0" xfId="0" applyFill="1" applyAlignment="1">
      <alignment wrapText="1"/>
    </xf>
    <xf numFmtId="0" fontId="0" fillId="9" borderId="0" xfId="0" applyFill="1"/>
    <xf numFmtId="49" fontId="6" fillId="13" borderId="0" xfId="0" applyNumberFormat="1" applyFont="1" applyFill="1" applyAlignment="1">
      <alignment wrapText="1"/>
    </xf>
    <xf numFmtId="49" fontId="6" fillId="0" borderId="0" xfId="0" applyNumberFormat="1" applyFont="1" applyAlignment="1">
      <alignment wrapText="1"/>
    </xf>
    <xf numFmtId="49" fontId="6" fillId="0" borderId="0" xfId="0" applyNumberFormat="1" applyFont="1"/>
    <xf numFmtId="2" fontId="13" fillId="7" borderId="0" xfId="0" applyNumberFormat="1" applyFont="1" applyFill="1" applyAlignment="1">
      <alignment wrapText="1"/>
    </xf>
    <xf numFmtId="0" fontId="7" fillId="7" borderId="0" xfId="0" applyFont="1" applyFill="1"/>
    <xf numFmtId="170" fontId="0" fillId="9" borderId="0" xfId="0" applyNumberFormat="1" applyFill="1" applyAlignment="1">
      <alignment horizontal="center" vertical="center"/>
    </xf>
    <xf numFmtId="0" fontId="2" fillId="4" borderId="5" xfId="0" applyFont="1" applyFill="1" applyBorder="1" applyAlignment="1">
      <alignment horizontal="center" vertical="center"/>
    </xf>
    <xf numFmtId="170" fontId="0" fillId="9" borderId="5" xfId="0" applyNumberFormat="1" applyFill="1" applyBorder="1" applyAlignment="1">
      <alignment horizontal="center" vertical="center"/>
    </xf>
    <xf numFmtId="170" fontId="0" fillId="9" borderId="6" xfId="0" applyNumberFormat="1" applyFill="1" applyBorder="1" applyAlignment="1">
      <alignment horizontal="center" vertical="center"/>
    </xf>
    <xf numFmtId="9" fontId="0" fillId="9" borderId="5" xfId="0" applyNumberFormat="1" applyFill="1" applyBorder="1" applyAlignment="1">
      <alignment horizontal="center" vertical="center"/>
    </xf>
    <xf numFmtId="9" fontId="0" fillId="9" borderId="6" xfId="0" applyNumberFormat="1" applyFill="1" applyBorder="1" applyAlignment="1">
      <alignment horizontal="center" vertical="center"/>
    </xf>
    <xf numFmtId="0" fontId="0" fillId="4" borderId="13" xfId="0" applyFill="1" applyBorder="1"/>
    <xf numFmtId="0" fontId="2" fillId="9" borderId="5" xfId="0" applyFont="1" applyFill="1" applyBorder="1" applyAlignment="1">
      <alignment horizontal="center" vertical="center"/>
    </xf>
    <xf numFmtId="0" fontId="2" fillId="9" borderId="0" xfId="0" applyFont="1" applyFill="1" applyAlignment="1">
      <alignment horizontal="center" vertical="center"/>
    </xf>
    <xf numFmtId="0" fontId="2" fillId="9" borderId="6" xfId="0" applyFont="1" applyFill="1" applyBorder="1" applyAlignment="1">
      <alignment horizontal="center" vertical="center"/>
    </xf>
    <xf numFmtId="0" fontId="0" fillId="9" borderId="13" xfId="0" applyFill="1" applyBorder="1"/>
    <xf numFmtId="9" fontId="2" fillId="4" borderId="0" xfId="0" applyNumberFormat="1" applyFont="1" applyFill="1" applyAlignment="1">
      <alignment horizontal="center" vertical="center"/>
    </xf>
    <xf numFmtId="170" fontId="2" fillId="4" borderId="0" xfId="0" applyNumberFormat="1" applyFont="1" applyFill="1" applyAlignment="1">
      <alignment horizontal="center" vertical="center"/>
    </xf>
    <xf numFmtId="1" fontId="7" fillId="0" borderId="0" xfId="0" applyNumberFormat="1" applyFont="1"/>
    <xf numFmtId="0" fontId="7" fillId="0" borderId="0" xfId="0" applyFont="1" applyAlignment="1">
      <alignment wrapText="1"/>
    </xf>
    <xf numFmtId="172" fontId="0" fillId="0" borderId="0" xfId="0" applyNumberFormat="1"/>
    <xf numFmtId="0" fontId="2" fillId="4" borderId="2" xfId="0" applyFont="1" applyFill="1" applyBorder="1"/>
    <xf numFmtId="0" fontId="2" fillId="4" borderId="3" xfId="0" applyFont="1" applyFill="1" applyBorder="1"/>
    <xf numFmtId="0" fontId="2" fillId="4" borderId="5" xfId="0" applyFont="1" applyFill="1" applyBorder="1"/>
    <xf numFmtId="0" fontId="2" fillId="4" borderId="4" xfId="0" applyFont="1" applyFill="1" applyBorder="1"/>
    <xf numFmtId="0" fontId="2" fillId="4" borderId="6" xfId="0" applyFont="1" applyFill="1" applyBorder="1"/>
    <xf numFmtId="167" fontId="12" fillId="0" borderId="0" xfId="0" applyNumberFormat="1" applyFont="1"/>
    <xf numFmtId="0" fontId="0" fillId="0" borderId="19" xfId="0" applyBorder="1" applyAlignment="1">
      <alignment wrapText="1"/>
    </xf>
    <xf numFmtId="0" fontId="0" fillId="0" borderId="20" xfId="0" applyBorder="1"/>
    <xf numFmtId="0" fontId="0" fillId="0" borderId="19" xfId="0" applyBorder="1"/>
    <xf numFmtId="0" fontId="0" fillId="0" borderId="23" xfId="0" applyBorder="1"/>
    <xf numFmtId="0" fontId="0" fillId="3" borderId="0" xfId="0" applyFill="1"/>
    <xf numFmtId="0" fontId="0" fillId="7" borderId="17" xfId="0" applyFill="1" applyBorder="1"/>
    <xf numFmtId="0" fontId="0" fillId="7" borderId="18" xfId="0" applyFill="1" applyBorder="1"/>
    <xf numFmtId="0" fontId="2" fillId="7" borderId="16" xfId="0" applyFont="1" applyFill="1" applyBorder="1" applyAlignment="1">
      <alignment wrapText="1"/>
    </xf>
    <xf numFmtId="0" fontId="0" fillId="3" borderId="19" xfId="0" applyFill="1" applyBorder="1"/>
    <xf numFmtId="0" fontId="0" fillId="3" borderId="19" xfId="0" applyFill="1" applyBorder="1" applyAlignment="1">
      <alignment wrapText="1"/>
    </xf>
    <xf numFmtId="0" fontId="7" fillId="0" borderId="0" xfId="2" applyFont="1" applyBorder="1" applyAlignment="1">
      <alignment vertical="center"/>
    </xf>
    <xf numFmtId="0" fontId="7" fillId="0" borderId="0" xfId="0" applyFont="1" applyAlignment="1">
      <alignment vertical="center"/>
    </xf>
    <xf numFmtId="0" fontId="2" fillId="4" borderId="0" xfId="0" applyFont="1" applyFill="1" applyAlignment="1">
      <alignment vertical="center"/>
    </xf>
    <xf numFmtId="173" fontId="0" fillId="0" borderId="0" xfId="0" applyNumberFormat="1"/>
    <xf numFmtId="1" fontId="0" fillId="9" borderId="5" xfId="0" applyNumberFormat="1" applyFill="1" applyBorder="1" applyAlignment="1">
      <alignment horizontal="center" vertical="center"/>
    </xf>
    <xf numFmtId="1" fontId="0" fillId="9" borderId="0" xfId="0" applyNumberFormat="1" applyFill="1" applyAlignment="1">
      <alignment horizontal="center" vertical="center"/>
    </xf>
    <xf numFmtId="1" fontId="0" fillId="9" borderId="7" xfId="0" applyNumberFormat="1" applyFill="1" applyBorder="1" applyAlignment="1">
      <alignment horizontal="center" vertical="center"/>
    </xf>
    <xf numFmtId="1" fontId="0" fillId="9" borderId="1" xfId="0" applyNumberFormat="1" applyFill="1" applyBorder="1" applyAlignment="1">
      <alignment horizontal="center" vertical="center"/>
    </xf>
    <xf numFmtId="1" fontId="0" fillId="9" borderId="8" xfId="0" applyNumberFormat="1" applyFill="1" applyBorder="1" applyAlignment="1">
      <alignment horizontal="center" vertical="center"/>
    </xf>
    <xf numFmtId="3" fontId="9" fillId="8" borderId="5" xfId="0" applyNumberFormat="1" applyFont="1" applyFill="1" applyBorder="1" applyAlignment="1">
      <alignment horizontal="center"/>
    </xf>
    <xf numFmtId="3" fontId="9" fillId="5" borderId="2" xfId="0" applyNumberFormat="1" applyFont="1" applyFill="1" applyBorder="1" applyAlignment="1">
      <alignment horizontal="center"/>
    </xf>
    <xf numFmtId="3" fontId="9" fillId="5" borderId="5" xfId="0" applyNumberFormat="1" applyFont="1" applyFill="1" applyBorder="1" applyAlignment="1">
      <alignment horizontal="center"/>
    </xf>
    <xf numFmtId="0" fontId="2" fillId="4" borderId="0" xfId="0" applyFont="1" applyFill="1" applyAlignment="1">
      <alignment horizontal="center"/>
    </xf>
    <xf numFmtId="0" fontId="2" fillId="4" borderId="6" xfId="0" applyFont="1" applyFill="1" applyBorder="1" applyAlignment="1">
      <alignment horizontal="center"/>
    </xf>
    <xf numFmtId="1" fontId="0" fillId="0" borderId="0" xfId="0" applyNumberFormat="1" applyAlignment="1">
      <alignment horizontal="center" vertical="center"/>
    </xf>
    <xf numFmtId="49" fontId="0" fillId="4" borderId="0" xfId="0" applyNumberFormat="1" applyFill="1" applyAlignment="1">
      <alignment wrapText="1"/>
    </xf>
    <xf numFmtId="3" fontId="9" fillId="0" borderId="0" xfId="0" applyNumberFormat="1" applyFont="1" applyAlignment="1">
      <alignment horizontal="center"/>
    </xf>
    <xf numFmtId="1" fontId="0" fillId="3" borderId="5"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0" fontId="0" fillId="3" borderId="1" xfId="0" applyFill="1" applyBorder="1" applyAlignment="1">
      <alignment horizontal="center" vertical="center"/>
    </xf>
    <xf numFmtId="1" fontId="0" fillId="3" borderId="8" xfId="0" applyNumberFormat="1" applyFill="1" applyBorder="1" applyAlignment="1">
      <alignment horizontal="center" vertical="center"/>
    </xf>
    <xf numFmtId="1" fontId="0" fillId="3" borderId="1" xfId="0" applyNumberFormat="1" applyFill="1" applyBorder="1" applyAlignment="1">
      <alignment horizontal="center" vertical="center"/>
    </xf>
    <xf numFmtId="3" fontId="3" fillId="0" borderId="5" xfId="0" applyNumberFormat="1" applyFont="1" applyBorder="1" applyAlignment="1">
      <alignment horizontal="center"/>
    </xf>
    <xf numFmtId="3" fontId="0" fillId="9" borderId="7" xfId="0" applyNumberFormat="1" applyFill="1" applyBorder="1" applyAlignment="1">
      <alignment horizontal="center"/>
    </xf>
    <xf numFmtId="0" fontId="0" fillId="9" borderId="6" xfId="0" applyFill="1" applyBorder="1"/>
    <xf numFmtId="0" fontId="0" fillId="3" borderId="8" xfId="0" applyFill="1" applyBorder="1" applyAlignment="1">
      <alignment horizontal="center" vertical="center"/>
    </xf>
    <xf numFmtId="49" fontId="2" fillId="4" borderId="2" xfId="0" applyNumberFormat="1" applyFont="1" applyFill="1" applyBorder="1" applyAlignment="1">
      <alignment horizontal="center" wrapText="1"/>
    </xf>
    <xf numFmtId="1" fontId="2" fillId="4" borderId="3" xfId="0" applyNumberFormat="1" applyFont="1" applyFill="1" applyBorder="1" applyAlignment="1">
      <alignment horizontal="center"/>
    </xf>
    <xf numFmtId="10" fontId="2" fillId="4" borderId="4" xfId="0" applyNumberFormat="1" applyFont="1" applyFill="1" applyBorder="1" applyAlignment="1">
      <alignment horizontal="center"/>
    </xf>
    <xf numFmtId="1" fontId="2" fillId="0" borderId="0" xfId="0" applyNumberFormat="1" applyFont="1"/>
    <xf numFmtId="9" fontId="0" fillId="3" borderId="1" xfId="0" applyNumberFormat="1" applyFill="1" applyBorder="1" applyAlignment="1">
      <alignment horizontal="center" vertical="center"/>
    </xf>
    <xf numFmtId="3" fontId="9" fillId="8" borderId="0" xfId="0" applyNumberFormat="1" applyFont="1" applyFill="1" applyAlignment="1">
      <alignment horizontal="center"/>
    </xf>
    <xf numFmtId="0" fontId="2" fillId="0" borderId="0" xfId="0" applyFont="1" applyAlignment="1">
      <alignment horizontal="center"/>
    </xf>
    <xf numFmtId="1" fontId="0" fillId="0" borderId="0" xfId="0" applyNumberFormat="1" applyAlignment="1">
      <alignment wrapText="1"/>
    </xf>
    <xf numFmtId="0" fontId="0" fillId="4" borderId="6" xfId="0" applyFill="1" applyBorder="1"/>
    <xf numFmtId="0" fontId="2" fillId="0" borderId="0" xfId="0" applyFont="1" applyAlignment="1">
      <alignment horizontal="center" vertical="center"/>
    </xf>
    <xf numFmtId="0" fontId="2" fillId="4" borderId="0" xfId="0" applyFont="1" applyFill="1" applyAlignment="1">
      <alignment horizontal="center" vertical="center"/>
    </xf>
    <xf numFmtId="0" fontId="2" fillId="4" borderId="0" xfId="0" applyFont="1" applyFill="1" applyAlignment="1">
      <alignment wrapText="1"/>
    </xf>
    <xf numFmtId="49" fontId="6" fillId="5" borderId="0" xfId="0" applyNumberFormat="1" applyFont="1" applyFill="1" applyAlignment="1">
      <alignment wrapText="1"/>
    </xf>
    <xf numFmtId="9" fontId="0" fillId="3" borderId="0" xfId="0" applyNumberFormat="1" applyFill="1"/>
    <xf numFmtId="3" fontId="0" fillId="3" borderId="0" xfId="0" applyNumberFormat="1" applyFill="1"/>
    <xf numFmtId="9" fontId="0" fillId="3" borderId="1" xfId="0" applyNumberFormat="1" applyFill="1" applyBorder="1"/>
    <xf numFmtId="49" fontId="2" fillId="7" borderId="0" xfId="0" applyNumberFormat="1" applyFont="1" applyFill="1" applyAlignment="1">
      <alignment wrapText="1"/>
    </xf>
    <xf numFmtId="0" fontId="2" fillId="7" borderId="2"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4" xfId="0" applyFont="1" applyFill="1" applyBorder="1" applyAlignment="1">
      <alignment horizontal="center" vertical="center"/>
    </xf>
    <xf numFmtId="49" fontId="2" fillId="7" borderId="2" xfId="0" applyNumberFormat="1" applyFont="1" applyFill="1" applyBorder="1" applyAlignment="1">
      <alignment wrapText="1"/>
    </xf>
    <xf numFmtId="1" fontId="2" fillId="7" borderId="3" xfId="0" applyNumberFormat="1" applyFont="1" applyFill="1" applyBorder="1"/>
    <xf numFmtId="1" fontId="2" fillId="7" borderId="4" xfId="0" applyNumberFormat="1" applyFont="1" applyFill="1" applyBorder="1"/>
    <xf numFmtId="1" fontId="2" fillId="7" borderId="2" xfId="0" applyNumberFormat="1" applyFont="1" applyFill="1" applyBorder="1"/>
    <xf numFmtId="0" fontId="0" fillId="7" borderId="3" xfId="0" applyFill="1" applyBorder="1"/>
    <xf numFmtId="0" fontId="2" fillId="7" borderId="4" xfId="0" applyFont="1" applyFill="1" applyBorder="1"/>
    <xf numFmtId="0" fontId="2" fillId="7" borderId="2" xfId="0" applyFont="1" applyFill="1" applyBorder="1"/>
    <xf numFmtId="0" fontId="0" fillId="7" borderId="2" xfId="0" applyFill="1" applyBorder="1"/>
    <xf numFmtId="0" fontId="2" fillId="7" borderId="0" xfId="0" applyFont="1" applyFill="1" applyAlignment="1">
      <alignment horizontal="center"/>
    </xf>
    <xf numFmtId="0" fontId="2" fillId="7" borderId="6" xfId="0" applyFont="1" applyFill="1" applyBorder="1" applyAlignment="1">
      <alignment horizontal="center"/>
    </xf>
    <xf numFmtId="0" fontId="2" fillId="7" borderId="0" xfId="0" applyFont="1" applyFill="1" applyAlignment="1">
      <alignment horizontal="left" vertical="center" wrapText="1"/>
    </xf>
    <xf numFmtId="0" fontId="2" fillId="7" borderId="12" xfId="0" applyFont="1" applyFill="1" applyBorder="1" applyAlignment="1">
      <alignment horizontal="center" vertical="center" wrapText="1"/>
    </xf>
    <xf numFmtId="1" fontId="0" fillId="9" borderId="7" xfId="0" applyNumberFormat="1" applyFill="1" applyBorder="1" applyAlignment="1">
      <alignment horizontal="center"/>
    </xf>
    <xf numFmtId="167" fontId="0" fillId="3" borderId="5" xfId="0" applyNumberFormat="1" applyFill="1" applyBorder="1" applyAlignment="1">
      <alignment horizontal="center"/>
    </xf>
    <xf numFmtId="167" fontId="0" fillId="3" borderId="0" xfId="0" applyNumberFormat="1" applyFill="1" applyAlignment="1">
      <alignment horizontal="center"/>
    </xf>
    <xf numFmtId="167" fontId="0" fillId="3" borderId="6" xfId="0" applyNumberFormat="1" applyFill="1" applyBorder="1" applyAlignment="1">
      <alignment horizontal="center"/>
    </xf>
    <xf numFmtId="167" fontId="0" fillId="3" borderId="7" xfId="0" applyNumberFormat="1" applyFill="1" applyBorder="1" applyAlignment="1">
      <alignment horizontal="center"/>
    </xf>
    <xf numFmtId="167" fontId="0" fillId="3" borderId="1" xfId="0" applyNumberFormat="1" applyFill="1" applyBorder="1" applyAlignment="1">
      <alignment horizontal="center"/>
    </xf>
    <xf numFmtId="167" fontId="0" fillId="3" borderId="8" xfId="0" applyNumberFormat="1" applyFill="1" applyBorder="1" applyAlignment="1">
      <alignment horizontal="center"/>
    </xf>
    <xf numFmtId="0" fontId="0" fillId="4" borderId="13" xfId="0" applyFill="1" applyBorder="1" applyAlignment="1">
      <alignment horizontal="center" wrapText="1"/>
    </xf>
    <xf numFmtId="9" fontId="0" fillId="4" borderId="5" xfId="0" applyNumberFormat="1" applyFill="1" applyBorder="1" applyAlignment="1">
      <alignment horizontal="center" vertical="center" wrapText="1"/>
    </xf>
    <xf numFmtId="0" fontId="0" fillId="4" borderId="0" xfId="0" applyFill="1" applyAlignment="1">
      <alignment horizontal="center" vertical="center" wrapText="1"/>
    </xf>
    <xf numFmtId="0" fontId="0" fillId="4" borderId="6" xfId="0" applyFill="1" applyBorder="1" applyAlignment="1">
      <alignment horizontal="center" vertical="center" wrapText="1"/>
    </xf>
    <xf numFmtId="0" fontId="2" fillId="9" borderId="0" xfId="0" applyFont="1" applyFill="1" applyAlignment="1">
      <alignment wrapText="1"/>
    </xf>
    <xf numFmtId="9" fontId="0" fillId="4" borderId="13" xfId="0" applyNumberFormat="1" applyFill="1" applyBorder="1" applyAlignment="1">
      <alignment horizontal="center"/>
    </xf>
    <xf numFmtId="9" fontId="0" fillId="4" borderId="14" xfId="0" applyNumberFormat="1" applyFill="1" applyBorder="1" applyAlignment="1">
      <alignment horizontal="center"/>
    </xf>
    <xf numFmtId="167" fontId="2" fillId="9" borderId="0" xfId="0" applyNumberFormat="1" applyFont="1" applyFill="1" applyAlignment="1">
      <alignment horizontal="center" vertical="center"/>
    </xf>
    <xf numFmtId="10" fontId="0" fillId="9" borderId="0" xfId="0" applyNumberFormat="1" applyFill="1" applyAlignment="1">
      <alignment horizontal="center" vertical="center"/>
    </xf>
    <xf numFmtId="9" fontId="7" fillId="9" borderId="0" xfId="0" applyNumberFormat="1" applyFont="1" applyFill="1" applyAlignment="1">
      <alignment horizontal="center" vertical="center"/>
    </xf>
    <xf numFmtId="1" fontId="0" fillId="9" borderId="1" xfId="0" applyNumberFormat="1" applyFill="1" applyBorder="1" applyAlignment="1">
      <alignment horizontal="center"/>
    </xf>
    <xf numFmtId="1" fontId="0" fillId="9" borderId="8" xfId="0" applyNumberFormat="1" applyFill="1" applyBorder="1" applyAlignment="1">
      <alignment horizontal="center"/>
    </xf>
    <xf numFmtId="0" fontId="0" fillId="7" borderId="0" xfId="0" applyFill="1" applyAlignment="1">
      <alignment wrapText="1"/>
    </xf>
    <xf numFmtId="0" fontId="2" fillId="7" borderId="3" xfId="0" applyFont="1" applyFill="1" applyBorder="1"/>
    <xf numFmtId="168" fontId="2" fillId="7" borderId="3" xfId="0" applyNumberFormat="1" applyFont="1" applyFill="1" applyBorder="1"/>
    <xf numFmtId="168" fontId="2" fillId="7" borderId="4" xfId="0" applyNumberFormat="1" applyFont="1" applyFill="1" applyBorder="1"/>
    <xf numFmtId="0" fontId="0" fillId="4" borderId="5" xfId="0" applyFill="1" applyBorder="1" applyAlignment="1">
      <alignment wrapText="1"/>
    </xf>
    <xf numFmtId="0" fontId="0" fillId="4" borderId="7" xfId="0" applyFill="1" applyBorder="1" applyAlignment="1">
      <alignment wrapText="1"/>
    </xf>
    <xf numFmtId="167" fontId="0" fillId="9" borderId="6" xfId="0" applyNumberFormat="1" applyFill="1" applyBorder="1"/>
    <xf numFmtId="167" fontId="0" fillId="9" borderId="8" xfId="0" applyNumberFormat="1" applyFill="1" applyBorder="1"/>
    <xf numFmtId="49" fontId="6" fillId="4" borderId="0" xfId="0" applyNumberFormat="1" applyFont="1" applyFill="1" applyAlignment="1">
      <alignment wrapText="1"/>
    </xf>
    <xf numFmtId="49" fontId="19" fillId="8" borderId="0" xfId="0" applyNumberFormat="1" applyFont="1" applyFill="1" applyAlignment="1">
      <alignment wrapText="1"/>
    </xf>
    <xf numFmtId="49" fontId="6" fillId="7" borderId="0" xfId="0" applyNumberFormat="1" applyFont="1" applyFill="1" applyAlignment="1">
      <alignment wrapText="1"/>
    </xf>
    <xf numFmtId="167" fontId="0" fillId="9" borderId="5" xfId="0" applyNumberFormat="1" applyFill="1" applyBorder="1"/>
    <xf numFmtId="167" fontId="0" fillId="9" borderId="0" xfId="0" applyNumberFormat="1" applyFill="1"/>
    <xf numFmtId="167" fontId="0" fillId="9" borderId="7" xfId="0" applyNumberFormat="1" applyFill="1" applyBorder="1"/>
    <xf numFmtId="167" fontId="0" fillId="9" borderId="1" xfId="0" applyNumberFormat="1" applyFill="1" applyBorder="1"/>
    <xf numFmtId="2" fontId="0" fillId="9" borderId="0" xfId="0" applyNumberFormat="1" applyFill="1"/>
    <xf numFmtId="168" fontId="0" fillId="9" borderId="0" xfId="0" applyNumberFormat="1" applyFill="1"/>
    <xf numFmtId="168" fontId="2" fillId="9" borderId="0" xfId="0" applyNumberFormat="1" applyFont="1" applyFill="1"/>
    <xf numFmtId="168" fontId="0" fillId="9" borderId="22" xfId="0" applyNumberFormat="1" applyFill="1" applyBorder="1"/>
    <xf numFmtId="168" fontId="2" fillId="9" borderId="22" xfId="0" applyNumberFormat="1" applyFont="1" applyFill="1" applyBorder="1"/>
    <xf numFmtId="0" fontId="0" fillId="4" borderId="19" xfId="0" applyFill="1" applyBorder="1"/>
    <xf numFmtId="0" fontId="0" fillId="4" borderId="19" xfId="0" applyFill="1" applyBorder="1" applyAlignment="1">
      <alignment wrapText="1"/>
    </xf>
    <xf numFmtId="0" fontId="2" fillId="4" borderId="19" xfId="0" applyFont="1" applyFill="1" applyBorder="1"/>
    <xf numFmtId="0" fontId="2" fillId="4" borderId="19" xfId="0" applyFont="1" applyFill="1" applyBorder="1" applyAlignment="1">
      <alignment wrapText="1"/>
    </xf>
    <xf numFmtId="0" fontId="0" fillId="4" borderId="21" xfId="0" applyFill="1" applyBorder="1"/>
    <xf numFmtId="0" fontId="0" fillId="4" borderId="5" xfId="0" applyFill="1" applyBorder="1"/>
    <xf numFmtId="0" fontId="0" fillId="4" borderId="7" xfId="0" applyFill="1" applyBorder="1"/>
    <xf numFmtId="9" fontId="0" fillId="9" borderId="0" xfId="0" applyNumberFormat="1" applyFill="1"/>
    <xf numFmtId="173" fontId="0" fillId="9" borderId="0" xfId="0" applyNumberFormat="1" applyFill="1"/>
    <xf numFmtId="173" fontId="0" fillId="9" borderId="1" xfId="0" applyNumberFormat="1" applyFill="1" applyBorder="1"/>
    <xf numFmtId="173" fontId="0" fillId="9" borderId="5" xfId="0" applyNumberFormat="1" applyFill="1" applyBorder="1"/>
    <xf numFmtId="173" fontId="0" fillId="9" borderId="7" xfId="0" applyNumberFormat="1" applyFill="1" applyBorder="1"/>
    <xf numFmtId="0" fontId="2" fillId="7" borderId="2" xfId="0" applyFont="1" applyFill="1" applyBorder="1" applyAlignment="1">
      <alignment wrapText="1"/>
    </xf>
    <xf numFmtId="10" fontId="0" fillId="9" borderId="0" xfId="0" applyNumberFormat="1" applyFill="1"/>
    <xf numFmtId="10" fontId="0" fillId="9" borderId="6" xfId="0" applyNumberFormat="1" applyFill="1" applyBorder="1"/>
    <xf numFmtId="10" fontId="0" fillId="9" borderId="1" xfId="0" applyNumberFormat="1" applyFill="1" applyBorder="1"/>
    <xf numFmtId="10" fontId="0" fillId="9" borderId="8" xfId="0" applyNumberFormat="1" applyFill="1" applyBorder="1"/>
    <xf numFmtId="0" fontId="2" fillId="4" borderId="2" xfId="0" applyFont="1" applyFill="1" applyBorder="1" applyAlignment="1">
      <alignment wrapText="1"/>
    </xf>
    <xf numFmtId="9" fontId="0" fillId="3" borderId="6" xfId="0" applyNumberFormat="1" applyFill="1" applyBorder="1"/>
    <xf numFmtId="9" fontId="0" fillId="3" borderId="8" xfId="0" applyNumberFormat="1" applyFill="1" applyBorder="1"/>
    <xf numFmtId="3" fontId="0" fillId="9" borderId="5" xfId="0" applyNumberFormat="1" applyFill="1" applyBorder="1"/>
    <xf numFmtId="3" fontId="0" fillId="9" borderId="0" xfId="0" applyNumberFormat="1" applyFill="1"/>
    <xf numFmtId="3" fontId="0" fillId="9" borderId="7" xfId="0" applyNumberFormat="1" applyFill="1" applyBorder="1"/>
    <xf numFmtId="3" fontId="0" fillId="9" borderId="1" xfId="0" applyNumberFormat="1" applyFill="1" applyBorder="1"/>
    <xf numFmtId="0" fontId="0" fillId="9" borderId="14" xfId="0" applyFill="1" applyBorder="1" applyAlignment="1">
      <alignment horizontal="center"/>
    </xf>
    <xf numFmtId="167" fontId="0" fillId="9" borderId="8" xfId="0" applyNumberFormat="1" applyFill="1" applyBorder="1" applyAlignment="1">
      <alignment horizontal="center"/>
    </xf>
    <xf numFmtId="0" fontId="0" fillId="9" borderId="14" xfId="0" applyFill="1" applyBorder="1" applyAlignment="1">
      <alignment horizontal="center" vertical="center"/>
    </xf>
    <xf numFmtId="10" fontId="0" fillId="3" borderId="0" xfId="0" applyNumberFormat="1" applyFill="1" applyAlignment="1">
      <alignment horizontal="center" vertical="center"/>
    </xf>
    <xf numFmtId="10" fontId="0" fillId="3" borderId="5" xfId="0" applyNumberFormat="1" applyFill="1" applyBorder="1" applyAlignment="1">
      <alignment horizontal="center" vertical="center"/>
    </xf>
    <xf numFmtId="10" fontId="0" fillId="3" borderId="6" xfId="0" applyNumberFormat="1" applyFill="1" applyBorder="1" applyAlignment="1">
      <alignment horizontal="center" vertical="center"/>
    </xf>
    <xf numFmtId="10" fontId="0" fillId="3" borderId="5" xfId="0" applyNumberFormat="1" applyFill="1" applyBorder="1" applyAlignment="1">
      <alignment horizontal="center"/>
    </xf>
    <xf numFmtId="10" fontId="0" fillId="3" borderId="0" xfId="0" applyNumberFormat="1" applyFill="1" applyAlignment="1">
      <alignment horizontal="center"/>
    </xf>
    <xf numFmtId="10" fontId="0" fillId="3" borderId="6" xfId="0" applyNumberFormat="1" applyFill="1" applyBorder="1" applyAlignment="1">
      <alignment horizontal="center"/>
    </xf>
    <xf numFmtId="10" fontId="0" fillId="3" borderId="7" xfId="0" applyNumberFormat="1" applyFill="1" applyBorder="1" applyAlignment="1">
      <alignment horizontal="center" vertical="center"/>
    </xf>
    <xf numFmtId="10" fontId="0" fillId="3" borderId="1" xfId="0" applyNumberFormat="1" applyFill="1" applyBorder="1" applyAlignment="1">
      <alignment horizontal="center" vertical="center"/>
    </xf>
    <xf numFmtId="10" fontId="0" fillId="3" borderId="8" xfId="0" applyNumberFormat="1" applyFill="1" applyBorder="1" applyAlignment="1">
      <alignment horizontal="center" vertical="center"/>
    </xf>
    <xf numFmtId="0" fontId="2" fillId="7" borderId="2" xfId="0" applyFont="1" applyFill="1" applyBorder="1" applyAlignment="1">
      <alignment vertical="center" wrapText="1"/>
    </xf>
    <xf numFmtId="168" fontId="3" fillId="9" borderId="5" xfId="0" applyNumberFormat="1" applyFont="1" applyFill="1" applyBorder="1" applyAlignment="1">
      <alignment horizontal="center"/>
    </xf>
    <xf numFmtId="168" fontId="3" fillId="9" borderId="0" xfId="0" applyNumberFormat="1" applyFont="1" applyFill="1" applyAlignment="1">
      <alignment horizontal="center"/>
    </xf>
    <xf numFmtId="168" fontId="3" fillId="9" borderId="6" xfId="0" applyNumberFormat="1" applyFont="1" applyFill="1" applyBorder="1" applyAlignment="1">
      <alignment horizontal="center"/>
    </xf>
    <xf numFmtId="1" fontId="3" fillId="9" borderId="5" xfId="0" applyNumberFormat="1" applyFont="1" applyFill="1" applyBorder="1" applyAlignment="1">
      <alignment horizontal="center"/>
    </xf>
    <xf numFmtId="1" fontId="3" fillId="9" borderId="0" xfId="0" applyNumberFormat="1" applyFont="1" applyFill="1" applyAlignment="1">
      <alignment horizontal="center"/>
    </xf>
    <xf numFmtId="1" fontId="3" fillId="9" borderId="6" xfId="0" applyNumberFormat="1" applyFont="1" applyFill="1" applyBorder="1" applyAlignment="1">
      <alignment horizontal="center"/>
    </xf>
    <xf numFmtId="10" fontId="7" fillId="9" borderId="5" xfId="0" applyNumberFormat="1" applyFont="1" applyFill="1" applyBorder="1" applyAlignment="1">
      <alignment horizontal="center"/>
    </xf>
    <xf numFmtId="10" fontId="7" fillId="9" borderId="0" xfId="0" applyNumberFormat="1" applyFont="1" applyFill="1" applyAlignment="1">
      <alignment horizontal="center"/>
    </xf>
    <xf numFmtId="10" fontId="7" fillId="9" borderId="6" xfId="0" applyNumberFormat="1" applyFont="1" applyFill="1" applyBorder="1" applyAlignment="1">
      <alignment horizontal="center"/>
    </xf>
    <xf numFmtId="9" fontId="7" fillId="9" borderId="5" xfId="0" applyNumberFormat="1" applyFont="1" applyFill="1" applyBorder="1" applyAlignment="1">
      <alignment horizontal="center"/>
    </xf>
    <xf numFmtId="9" fontId="7" fillId="9" borderId="0" xfId="0" applyNumberFormat="1" applyFont="1" applyFill="1" applyAlignment="1">
      <alignment horizontal="center"/>
    </xf>
    <xf numFmtId="9" fontId="7" fillId="9" borderId="6" xfId="0" applyNumberFormat="1" applyFont="1" applyFill="1" applyBorder="1" applyAlignment="1">
      <alignment horizontal="center"/>
    </xf>
    <xf numFmtId="9" fontId="0" fillId="9" borderId="5" xfId="0" applyNumberFormat="1" applyFill="1" applyBorder="1" applyAlignment="1">
      <alignment horizontal="center"/>
    </xf>
    <xf numFmtId="9" fontId="0" fillId="9" borderId="0" xfId="0" applyNumberFormat="1" applyFill="1" applyAlignment="1">
      <alignment horizontal="center"/>
    </xf>
    <xf numFmtId="9" fontId="0" fillId="9" borderId="6" xfId="0" applyNumberFormat="1" applyFill="1" applyBorder="1" applyAlignment="1">
      <alignment horizontal="center"/>
    </xf>
    <xf numFmtId="0" fontId="7" fillId="4" borderId="0" xfId="0" applyFont="1" applyFill="1" applyAlignment="1">
      <alignment vertical="center" wrapText="1"/>
    </xf>
    <xf numFmtId="1" fontId="0" fillId="9" borderId="5" xfId="0" applyNumberFormat="1" applyFill="1" applyBorder="1" applyAlignment="1">
      <alignment horizontal="center"/>
    </xf>
    <xf numFmtId="1" fontId="0" fillId="9" borderId="0" xfId="0" applyNumberFormat="1" applyFill="1" applyAlignment="1">
      <alignment horizontal="center"/>
    </xf>
    <xf numFmtId="1" fontId="0" fillId="9" borderId="6" xfId="0" applyNumberFormat="1" applyFill="1" applyBorder="1" applyAlignment="1">
      <alignment horizontal="center"/>
    </xf>
    <xf numFmtId="0" fontId="0" fillId="9" borderId="6" xfId="0" applyFill="1" applyBorder="1" applyAlignment="1">
      <alignment horizontal="center"/>
    </xf>
    <xf numFmtId="0" fontId="0" fillId="10" borderId="0" xfId="0" applyFill="1" applyAlignment="1">
      <alignment horizontal="center"/>
    </xf>
    <xf numFmtId="0" fontId="0" fillId="10" borderId="0" xfId="0" applyFill="1" applyAlignment="1">
      <alignment horizontal="center" wrapText="1"/>
    </xf>
    <xf numFmtId="0" fontId="0" fillId="11" borderId="13" xfId="0" applyFill="1" applyBorder="1" applyAlignment="1">
      <alignment horizontal="left" vertical="center" wrapText="1"/>
    </xf>
    <xf numFmtId="0" fontId="0" fillId="11" borderId="13" xfId="0" applyFill="1" applyBorder="1" applyAlignment="1">
      <alignment vertical="center" wrapText="1"/>
    </xf>
    <xf numFmtId="0" fontId="2" fillId="11" borderId="13" xfId="0" applyFont="1" applyFill="1" applyBorder="1" applyAlignment="1">
      <alignment horizontal="left" vertical="center" wrapText="1"/>
    </xf>
    <xf numFmtId="0" fontId="2" fillId="11" borderId="13" xfId="0" applyFont="1" applyFill="1" applyBorder="1" applyAlignment="1">
      <alignment vertical="center" wrapText="1"/>
    </xf>
    <xf numFmtId="0" fontId="6" fillId="11" borderId="14" xfId="0" applyFont="1" applyFill="1" applyBorder="1" applyAlignment="1">
      <alignment vertical="center" wrapText="1"/>
    </xf>
    <xf numFmtId="0" fontId="0" fillId="4" borderId="5" xfId="0" applyFill="1" applyBorder="1" applyAlignment="1">
      <alignment vertical="center" wrapText="1"/>
    </xf>
    <xf numFmtId="0" fontId="0" fillId="4" borderId="7" xfId="0" applyFill="1" applyBorder="1" applyAlignment="1">
      <alignment vertical="center" wrapText="1"/>
    </xf>
    <xf numFmtId="49" fontId="0" fillId="10" borderId="0" xfId="0" applyNumberFormat="1" applyFill="1" applyAlignment="1">
      <alignment wrapText="1"/>
    </xf>
    <xf numFmtId="49" fontId="2" fillId="10" borderId="0" xfId="0" applyNumberFormat="1" applyFont="1" applyFill="1" applyAlignment="1">
      <alignment wrapText="1"/>
    </xf>
    <xf numFmtId="49" fontId="0" fillId="16" borderId="0" xfId="0" applyNumberFormat="1" applyFill="1" applyAlignment="1">
      <alignment horizontal="left" vertical="top" wrapText="1"/>
    </xf>
    <xf numFmtId="3" fontId="9" fillId="7" borderId="5" xfId="0" applyNumberFormat="1" applyFont="1" applyFill="1" applyBorder="1" applyAlignment="1">
      <alignment horizontal="center"/>
    </xf>
    <xf numFmtId="49" fontId="0" fillId="9" borderId="0" xfId="0" applyNumberFormat="1" applyFill="1" applyAlignment="1">
      <alignment wrapText="1"/>
    </xf>
    <xf numFmtId="10" fontId="0" fillId="9" borderId="7" xfId="0" applyNumberFormat="1" applyFill="1" applyBorder="1" applyAlignment="1">
      <alignment horizontal="center"/>
    </xf>
    <xf numFmtId="10" fontId="0" fillId="9" borderId="8" xfId="0" applyNumberFormat="1" applyFill="1" applyBorder="1" applyAlignment="1">
      <alignment horizontal="center"/>
    </xf>
    <xf numFmtId="10" fontId="0" fillId="9" borderId="5" xfId="0" applyNumberFormat="1" applyFill="1" applyBorder="1" applyAlignment="1">
      <alignment horizontal="center"/>
    </xf>
    <xf numFmtId="10" fontId="0" fillId="9" borderId="0" xfId="0" applyNumberFormat="1" applyFill="1" applyAlignment="1">
      <alignment horizontal="center"/>
    </xf>
    <xf numFmtId="10" fontId="0" fillId="9" borderId="6" xfId="0" applyNumberFormat="1" applyFill="1" applyBorder="1" applyAlignment="1">
      <alignment horizontal="center"/>
    </xf>
    <xf numFmtId="10" fontId="0" fillId="9" borderId="1" xfId="0" applyNumberFormat="1" applyFill="1" applyBorder="1" applyAlignment="1">
      <alignment horizontal="center"/>
    </xf>
    <xf numFmtId="0" fontId="8" fillId="0" borderId="0" xfId="0" applyFont="1" applyAlignment="1">
      <alignment vertical="center" wrapText="1"/>
    </xf>
    <xf numFmtId="9" fontId="0" fillId="9" borderId="13" xfId="0" applyNumberFormat="1" applyFill="1" applyBorder="1" applyAlignment="1">
      <alignment horizontal="center"/>
    </xf>
    <xf numFmtId="0" fontId="2" fillId="9" borderId="0" xfId="0" applyFont="1" applyFill="1" applyAlignment="1">
      <alignment vertical="center" wrapText="1"/>
    </xf>
    <xf numFmtId="0" fontId="2" fillId="9" borderId="7" xfId="0" applyFont="1" applyFill="1" applyBorder="1"/>
    <xf numFmtId="0" fontId="2" fillId="9" borderId="1" xfId="0" applyFont="1" applyFill="1" applyBorder="1"/>
    <xf numFmtId="0" fontId="2" fillId="9" borderId="8" xfId="0" applyFont="1" applyFill="1" applyBorder="1"/>
    <xf numFmtId="1" fontId="2" fillId="9" borderId="7" xfId="0" applyNumberFormat="1" applyFont="1" applyFill="1" applyBorder="1" applyAlignment="1">
      <alignment horizontal="center" vertical="center"/>
    </xf>
    <xf numFmtId="1" fontId="2" fillId="9" borderId="1" xfId="0" applyNumberFormat="1" applyFont="1" applyFill="1" applyBorder="1" applyAlignment="1">
      <alignment horizontal="center" vertical="center"/>
    </xf>
    <xf numFmtId="1" fontId="2" fillId="9" borderId="8" xfId="0" applyNumberFormat="1" applyFont="1" applyFill="1" applyBorder="1" applyAlignment="1">
      <alignment horizontal="center" vertical="center"/>
    </xf>
    <xf numFmtId="9" fontId="2" fillId="9" borderId="7" xfId="0" applyNumberFormat="1" applyFont="1" applyFill="1" applyBorder="1" applyAlignment="1">
      <alignment horizontal="center" vertical="top"/>
    </xf>
    <xf numFmtId="9" fontId="2" fillId="9" borderId="1" xfId="0" applyNumberFormat="1" applyFont="1" applyFill="1" applyBorder="1" applyAlignment="1">
      <alignment horizontal="center" vertical="top"/>
    </xf>
    <xf numFmtId="9" fontId="2" fillId="9" borderId="8" xfId="0" applyNumberFormat="1" applyFont="1" applyFill="1" applyBorder="1" applyAlignment="1">
      <alignment horizontal="center" vertical="top"/>
    </xf>
    <xf numFmtId="0" fontId="2" fillId="4" borderId="0" xfId="0" applyFont="1" applyFill="1" applyAlignment="1">
      <alignment horizontal="left" wrapText="1"/>
    </xf>
    <xf numFmtId="0" fontId="2" fillId="7" borderId="5" xfId="0" applyFont="1" applyFill="1" applyBorder="1" applyAlignment="1">
      <alignment horizontal="center"/>
    </xf>
    <xf numFmtId="167" fontId="0" fillId="9" borderId="6" xfId="0" applyNumberFormat="1" applyFill="1" applyBorder="1" applyAlignment="1">
      <alignment horizontal="center"/>
    </xf>
    <xf numFmtId="167" fontId="0" fillId="9" borderId="13" xfId="0" applyNumberFormat="1" applyFill="1" applyBorder="1" applyAlignment="1">
      <alignment horizontal="center"/>
    </xf>
    <xf numFmtId="167" fontId="0" fillId="9" borderId="14" xfId="0" applyNumberFormat="1" applyFill="1" applyBorder="1" applyAlignment="1">
      <alignment horizontal="center"/>
    </xf>
    <xf numFmtId="0" fontId="2" fillId="7" borderId="5" xfId="0" applyFont="1" applyFill="1" applyBorder="1" applyAlignment="1">
      <alignment horizontal="center" wrapText="1"/>
    </xf>
    <xf numFmtId="9" fontId="2" fillId="7" borderId="0" xfId="0" applyNumberFormat="1" applyFont="1" applyFill="1" applyAlignment="1">
      <alignment horizontal="center" wrapText="1"/>
    </xf>
    <xf numFmtId="168" fontId="2" fillId="7" borderId="0" xfId="0" applyNumberFormat="1" applyFont="1" applyFill="1" applyAlignment="1">
      <alignment horizontal="center" wrapText="1"/>
    </xf>
    <xf numFmtId="168" fontId="2" fillId="7" borderId="6" xfId="0" applyNumberFormat="1" applyFont="1" applyFill="1" applyBorder="1" applyAlignment="1">
      <alignment horizontal="center" wrapText="1"/>
    </xf>
    <xf numFmtId="3" fontId="0" fillId="3" borderId="5" xfId="0" applyNumberFormat="1" applyFill="1" applyBorder="1" applyAlignment="1">
      <alignment horizontal="center"/>
    </xf>
    <xf numFmtId="1" fontId="0" fillId="3" borderId="0" xfId="0" applyNumberFormat="1" applyFill="1" applyAlignment="1">
      <alignment horizontal="center"/>
    </xf>
    <xf numFmtId="168" fontId="0" fillId="3" borderId="0" xfId="0" applyNumberFormat="1" applyFill="1" applyAlignment="1">
      <alignment horizontal="center"/>
    </xf>
    <xf numFmtId="168" fontId="0" fillId="3" borderId="6" xfId="0" applyNumberFormat="1" applyFill="1" applyBorder="1" applyAlignment="1">
      <alignment horizontal="center"/>
    </xf>
    <xf numFmtId="3" fontId="0" fillId="3" borderId="7" xfId="0" applyNumberFormat="1" applyFill="1" applyBorder="1" applyAlignment="1">
      <alignment horizontal="center"/>
    </xf>
    <xf numFmtId="1" fontId="0" fillId="3" borderId="1" xfId="0" applyNumberFormat="1" applyFill="1" applyBorder="1" applyAlignment="1">
      <alignment horizontal="center"/>
    </xf>
    <xf numFmtId="0" fontId="0" fillId="3" borderId="1" xfId="0" applyFill="1" applyBorder="1" applyAlignment="1">
      <alignment horizontal="center"/>
    </xf>
    <xf numFmtId="0" fontId="0" fillId="3" borderId="8" xfId="0" applyFill="1" applyBorder="1" applyAlignment="1">
      <alignment horizontal="center"/>
    </xf>
    <xf numFmtId="1" fontId="0" fillId="3" borderId="6" xfId="0" applyNumberFormat="1" applyFill="1" applyBorder="1" applyAlignment="1">
      <alignment horizontal="center"/>
    </xf>
    <xf numFmtId="1" fontId="0" fillId="3" borderId="8" xfId="0" applyNumberFormat="1" applyFill="1" applyBorder="1" applyAlignment="1">
      <alignment horizontal="center"/>
    </xf>
    <xf numFmtId="1" fontId="0" fillId="3" borderId="7" xfId="0" applyNumberFormat="1" applyFill="1" applyBorder="1" applyAlignment="1">
      <alignment horizontal="center"/>
    </xf>
    <xf numFmtId="0" fontId="7" fillId="4" borderId="0" xfId="0" applyFont="1" applyFill="1" applyAlignment="1">
      <alignment wrapText="1"/>
    </xf>
    <xf numFmtId="49" fontId="0" fillId="0" borderId="0" xfId="0" applyNumberFormat="1"/>
    <xf numFmtId="3" fontId="9" fillId="5" borderId="0" xfId="0" applyNumberFormat="1" applyFont="1" applyFill="1" applyAlignment="1">
      <alignment horizontal="center"/>
    </xf>
    <xf numFmtId="10" fontId="7" fillId="3" borderId="0" xfId="0" applyNumberFormat="1" applyFont="1" applyFill="1"/>
    <xf numFmtId="10" fontId="7" fillId="3" borderId="6" xfId="0" applyNumberFormat="1" applyFont="1" applyFill="1" applyBorder="1"/>
    <xf numFmtId="10" fontId="20" fillId="3" borderId="0" xfId="0" applyNumberFormat="1" applyFont="1" applyFill="1"/>
    <xf numFmtId="10" fontId="20" fillId="3" borderId="6" xfId="0" applyNumberFormat="1" applyFont="1" applyFill="1" applyBorder="1"/>
    <xf numFmtId="10" fontId="7" fillId="3" borderId="1" xfId="0" applyNumberFormat="1" applyFont="1" applyFill="1" applyBorder="1"/>
    <xf numFmtId="10" fontId="7" fillId="3" borderId="8" xfId="0" applyNumberFormat="1" applyFont="1" applyFill="1" applyBorder="1"/>
    <xf numFmtId="167" fontId="0" fillId="9" borderId="0" xfId="0" applyNumberFormat="1" applyFill="1" applyAlignment="1">
      <alignment horizontal="center"/>
    </xf>
    <xf numFmtId="167" fontId="0" fillId="9" borderId="5" xfId="0" applyNumberFormat="1" applyFill="1" applyBorder="1" applyAlignment="1">
      <alignment horizontal="center"/>
    </xf>
    <xf numFmtId="0" fontId="0" fillId="9" borderId="13" xfId="0" applyFill="1" applyBorder="1" applyAlignment="1">
      <alignment horizontal="center"/>
    </xf>
    <xf numFmtId="0" fontId="0" fillId="4" borderId="2" xfId="0" applyFill="1" applyBorder="1"/>
    <xf numFmtId="0" fontId="0" fillId="4" borderId="3" xfId="0" applyFill="1" applyBorder="1" applyAlignment="1">
      <alignment wrapText="1"/>
    </xf>
    <xf numFmtId="0" fontId="0" fillId="4" borderId="4" xfId="0" applyFill="1" applyBorder="1" applyAlignment="1">
      <alignment wrapText="1"/>
    </xf>
    <xf numFmtId="0" fontId="0" fillId="9" borderId="1" xfId="0" applyFill="1" applyBorder="1"/>
    <xf numFmtId="2" fontId="0" fillId="9" borderId="1" xfId="0" applyNumberFormat="1" applyFill="1" applyBorder="1"/>
    <xf numFmtId="173" fontId="0" fillId="9" borderId="6" xfId="0" applyNumberFormat="1" applyFill="1" applyBorder="1"/>
    <xf numFmtId="173" fontId="0" fillId="9" borderId="8" xfId="0" applyNumberFormat="1" applyFill="1" applyBorder="1"/>
    <xf numFmtId="3" fontId="0" fillId="9" borderId="6" xfId="0" applyNumberFormat="1" applyFill="1" applyBorder="1"/>
    <xf numFmtId="3" fontId="0" fillId="9" borderId="8" xfId="0" applyNumberFormat="1" applyFill="1" applyBorder="1"/>
    <xf numFmtId="0" fontId="2" fillId="7" borderId="5" xfId="0" applyFont="1" applyFill="1" applyBorder="1" applyAlignment="1">
      <alignment wrapText="1"/>
    </xf>
    <xf numFmtId="2" fontId="7" fillId="0" borderId="0" xfId="0" applyNumberFormat="1" applyFont="1" applyAlignment="1">
      <alignment vertical="center"/>
    </xf>
    <xf numFmtId="0" fontId="0" fillId="10" borderId="0" xfId="0" applyFill="1"/>
    <xf numFmtId="0" fontId="2" fillId="17" borderId="0" xfId="0" applyFont="1" applyFill="1" applyAlignment="1">
      <alignment horizontal="center"/>
    </xf>
    <xf numFmtId="0" fontId="0" fillId="3" borderId="0" xfId="0" applyFill="1" applyAlignment="1">
      <alignment horizontal="center"/>
    </xf>
    <xf numFmtId="0" fontId="0" fillId="9" borderId="0" xfId="0" applyFill="1" applyAlignment="1">
      <alignment horizontal="center"/>
    </xf>
    <xf numFmtId="1" fontId="0" fillId="0" borderId="0" xfId="0" applyNumberFormat="1" applyAlignment="1">
      <alignment horizontal="center"/>
    </xf>
    <xf numFmtId="0" fontId="2" fillId="10" borderId="0" xfId="0" applyFont="1" applyFill="1"/>
    <xf numFmtId="49" fontId="7" fillId="0" borderId="0" xfId="0" applyNumberFormat="1" applyFont="1"/>
    <xf numFmtId="49" fontId="6" fillId="15" borderId="0" xfId="0" applyNumberFormat="1" applyFont="1" applyFill="1" applyAlignment="1">
      <alignment horizontal="center" wrapText="1"/>
    </xf>
    <xf numFmtId="0" fontId="7" fillId="9" borderId="0" xfId="0" applyFont="1" applyFill="1" applyAlignment="1">
      <alignment horizontal="left" vertical="top" wrapText="1"/>
    </xf>
    <xf numFmtId="0" fontId="7" fillId="9" borderId="0" xfId="0" applyFont="1" applyFill="1" applyAlignment="1">
      <alignment wrapText="1"/>
    </xf>
    <xf numFmtId="0" fontId="13" fillId="4" borderId="0" xfId="0" applyFont="1" applyFill="1" applyAlignment="1">
      <alignment wrapText="1"/>
    </xf>
    <xf numFmtId="49" fontId="0" fillId="4" borderId="6" xfId="0" applyNumberFormat="1" applyFill="1" applyBorder="1" applyAlignment="1">
      <alignment wrapText="1"/>
    </xf>
    <xf numFmtId="49" fontId="2" fillId="7" borderId="6" xfId="0" applyNumberFormat="1" applyFont="1" applyFill="1" applyBorder="1" applyAlignment="1">
      <alignment wrapText="1"/>
    </xf>
    <xf numFmtId="0" fontId="0" fillId="3" borderId="5" xfId="0" applyFill="1" applyBorder="1" applyAlignment="1">
      <alignment horizontal="center" vertical="center" wrapText="1"/>
    </xf>
    <xf numFmtId="9" fontId="0" fillId="3" borderId="7" xfId="0" applyNumberFormat="1" applyFill="1" applyBorder="1" applyAlignment="1">
      <alignment horizontal="center" vertical="center" wrapText="1"/>
    </xf>
    <xf numFmtId="9" fontId="0" fillId="3" borderId="8" xfId="0" applyNumberFormat="1" applyFill="1" applyBorder="1" applyAlignment="1">
      <alignment horizontal="center" vertical="center"/>
    </xf>
    <xf numFmtId="49" fontId="2" fillId="7" borderId="2" xfId="0" applyNumberFormat="1" applyFont="1" applyFill="1" applyBorder="1" applyAlignment="1">
      <alignment horizontal="center" wrapText="1"/>
    </xf>
    <xf numFmtId="1" fontId="2" fillId="7" borderId="3" xfId="0" applyNumberFormat="1" applyFont="1" applyFill="1" applyBorder="1" applyAlignment="1">
      <alignment horizontal="center"/>
    </xf>
    <xf numFmtId="1" fontId="2" fillId="7" borderId="4" xfId="0" applyNumberFormat="1" applyFont="1" applyFill="1" applyBorder="1" applyAlignment="1">
      <alignment horizontal="center"/>
    </xf>
    <xf numFmtId="4" fontId="0" fillId="9" borderId="7" xfId="0" quotePrefix="1" applyNumberFormat="1" applyFill="1" applyBorder="1" applyAlignment="1">
      <alignment horizontal="center" wrapText="1"/>
    </xf>
    <xf numFmtId="4" fontId="0" fillId="9" borderId="1" xfId="0" quotePrefix="1" applyNumberFormat="1" applyFill="1" applyBorder="1" applyAlignment="1">
      <alignment horizontal="center" wrapText="1"/>
    </xf>
    <xf numFmtId="4" fontId="0" fillId="9" borderId="8" xfId="0" quotePrefix="1" applyNumberFormat="1" applyFill="1" applyBorder="1" applyAlignment="1">
      <alignment horizontal="center" wrapText="1"/>
    </xf>
    <xf numFmtId="4" fontId="0" fillId="9" borderId="1" xfId="0" applyNumberFormat="1" applyFill="1" applyBorder="1" applyAlignment="1">
      <alignment horizontal="center"/>
    </xf>
    <xf numFmtId="4" fontId="0" fillId="9" borderId="8" xfId="0" applyNumberFormat="1" applyFill="1" applyBorder="1" applyAlignment="1">
      <alignment horizontal="center"/>
    </xf>
    <xf numFmtId="4" fontId="0" fillId="9" borderId="7" xfId="0" applyNumberFormat="1" applyFill="1" applyBorder="1" applyAlignment="1">
      <alignment horizontal="center"/>
    </xf>
    <xf numFmtId="9" fontId="7" fillId="3" borderId="5" xfId="0" applyNumberFormat="1" applyFont="1" applyFill="1" applyBorder="1" applyAlignment="1">
      <alignment horizontal="center"/>
    </xf>
    <xf numFmtId="9" fontId="7" fillId="3" borderId="0" xfId="0" applyNumberFormat="1" applyFont="1" applyFill="1" applyAlignment="1">
      <alignment horizontal="center"/>
    </xf>
    <xf numFmtId="9" fontId="7" fillId="3" borderId="6" xfId="0" applyNumberFormat="1" applyFont="1" applyFill="1" applyBorder="1" applyAlignment="1">
      <alignment horizontal="center"/>
    </xf>
    <xf numFmtId="9" fontId="2" fillId="7" borderId="6" xfId="0" applyNumberFormat="1" applyFont="1" applyFill="1" applyBorder="1" applyAlignment="1">
      <alignment horizontal="center" wrapText="1"/>
    </xf>
    <xf numFmtId="9" fontId="0" fillId="3" borderId="7" xfId="0" applyNumberFormat="1" applyFill="1" applyBorder="1"/>
    <xf numFmtId="2" fontId="0" fillId="9" borderId="5" xfId="0" applyNumberFormat="1" applyFill="1" applyBorder="1" applyAlignment="1">
      <alignment horizontal="center"/>
    </xf>
    <xf numFmtId="2" fontId="0" fillId="9" borderId="0" xfId="0" applyNumberFormat="1" applyFill="1" applyAlignment="1">
      <alignment horizontal="center"/>
    </xf>
    <xf numFmtId="2" fontId="0" fillId="9" borderId="6" xfId="0" applyNumberFormat="1" applyFill="1" applyBorder="1" applyAlignment="1">
      <alignment horizontal="center"/>
    </xf>
    <xf numFmtId="0" fontId="2" fillId="4" borderId="5" xfId="0" applyFont="1" applyFill="1" applyBorder="1" applyAlignment="1">
      <alignment horizontal="center"/>
    </xf>
    <xf numFmtId="0" fontId="0" fillId="4" borderId="9" xfId="0" applyFill="1" applyBorder="1" applyAlignment="1">
      <alignment wrapText="1"/>
    </xf>
    <xf numFmtId="9" fontId="0" fillId="3" borderId="10" xfId="0" applyNumberFormat="1" applyFill="1" applyBorder="1"/>
    <xf numFmtId="9" fontId="0" fillId="3" borderId="11" xfId="0" applyNumberFormat="1" applyFill="1" applyBorder="1"/>
    <xf numFmtId="10" fontId="0" fillId="0" borderId="0" xfId="0" applyNumberFormat="1" applyAlignment="1">
      <alignment horizontal="center"/>
    </xf>
    <xf numFmtId="168" fontId="7" fillId="3" borderId="7" xfId="0" applyNumberFormat="1" applyFont="1" applyFill="1" applyBorder="1" applyAlignment="1">
      <alignment horizontal="center" wrapText="1"/>
    </xf>
    <xf numFmtId="168" fontId="7" fillId="3" borderId="1" xfId="0" applyNumberFormat="1" applyFont="1" applyFill="1" applyBorder="1" applyAlignment="1">
      <alignment horizontal="center"/>
    </xf>
    <xf numFmtId="168" fontId="7" fillId="3" borderId="8" xfId="0" applyNumberFormat="1" applyFont="1" applyFill="1" applyBorder="1" applyAlignment="1">
      <alignment horizontal="center"/>
    </xf>
    <xf numFmtId="9" fontId="7" fillId="9" borderId="8" xfId="0" applyNumberFormat="1" applyFont="1" applyFill="1" applyBorder="1" applyAlignment="1">
      <alignment horizontal="center"/>
    </xf>
    <xf numFmtId="0" fontId="2" fillId="10" borderId="2" xfId="0" applyFont="1" applyFill="1" applyBorder="1" applyAlignment="1">
      <alignment horizontal="left" vertical="center" wrapText="1"/>
    </xf>
    <xf numFmtId="0" fontId="0" fillId="10" borderId="3" xfId="0" applyFill="1" applyBorder="1"/>
    <xf numFmtId="0" fontId="0" fillId="10" borderId="4" xfId="0" applyFill="1" applyBorder="1"/>
    <xf numFmtId="0" fontId="0" fillId="10" borderId="5" xfId="0" applyFill="1" applyBorder="1" applyAlignment="1">
      <alignment horizontal="left" vertical="center" wrapText="1"/>
    </xf>
    <xf numFmtId="0" fontId="0" fillId="10" borderId="6" xfId="0" applyFill="1" applyBorder="1" applyAlignment="1">
      <alignment horizontal="center"/>
    </xf>
    <xf numFmtId="49" fontId="6" fillId="7" borderId="0" xfId="0" applyNumberFormat="1" applyFont="1" applyFill="1"/>
    <xf numFmtId="0" fontId="0" fillId="0" borderId="0" xfId="0" applyAlignment="1">
      <alignment vertical="top" wrapText="1"/>
    </xf>
    <xf numFmtId="0" fontId="21" fillId="4" borderId="0" xfId="0" applyFont="1" applyFill="1"/>
    <xf numFmtId="1" fontId="3" fillId="0" borderId="0" xfId="0" applyNumberFormat="1" applyFont="1" applyAlignment="1">
      <alignment horizontal="center"/>
    </xf>
    <xf numFmtId="0" fontId="7" fillId="4" borderId="5" xfId="0" applyFont="1" applyFill="1" applyBorder="1" applyAlignment="1">
      <alignment vertical="center" wrapText="1"/>
    </xf>
    <xf numFmtId="170" fontId="3" fillId="9" borderId="6" xfId="0" applyNumberFormat="1" applyFont="1" applyFill="1" applyBorder="1" applyAlignment="1">
      <alignment horizontal="center"/>
    </xf>
    <xf numFmtId="170" fontId="3" fillId="9" borderId="0" xfId="0" applyNumberFormat="1" applyFont="1" applyFill="1" applyAlignment="1">
      <alignment horizontal="center"/>
    </xf>
    <xf numFmtId="1" fontId="0" fillId="9" borderId="0" xfId="0" applyNumberFormat="1" applyFill="1"/>
    <xf numFmtId="0" fontId="2" fillId="7" borderId="3" xfId="0" applyFont="1" applyFill="1" applyBorder="1" applyAlignment="1">
      <alignment vertical="center" wrapText="1"/>
    </xf>
    <xf numFmtId="0" fontId="2" fillId="7" borderId="5" xfId="0" applyFont="1" applyFill="1" applyBorder="1" applyAlignment="1">
      <alignment vertical="center" wrapText="1"/>
    </xf>
    <xf numFmtId="1" fontId="0" fillId="9" borderId="1" xfId="0" applyNumberFormat="1" applyFill="1" applyBorder="1"/>
    <xf numFmtId="0" fontId="0" fillId="9" borderId="13" xfId="0" applyFill="1" applyBorder="1" applyAlignment="1">
      <alignment horizontal="center" vertical="center"/>
    </xf>
    <xf numFmtId="0" fontId="13" fillId="7" borderId="2" xfId="0" applyFont="1" applyFill="1" applyBorder="1" applyAlignment="1">
      <alignment vertical="center" wrapText="1"/>
    </xf>
    <xf numFmtId="1" fontId="0" fillId="9" borderId="2" xfId="0" applyNumberFormat="1" applyFill="1" applyBorder="1" applyAlignment="1">
      <alignment horizontal="center"/>
    </xf>
    <xf numFmtId="1" fontId="0" fillId="9" borderId="3" xfId="0" applyNumberFormat="1" applyFill="1" applyBorder="1" applyAlignment="1">
      <alignment horizontal="center"/>
    </xf>
    <xf numFmtId="1" fontId="0" fillId="9" borderId="4" xfId="0" applyNumberFormat="1" applyFill="1" applyBorder="1" applyAlignment="1">
      <alignment horizontal="center"/>
    </xf>
    <xf numFmtId="170" fontId="3" fillId="9" borderId="3" xfId="0" applyNumberFormat="1" applyFont="1" applyFill="1" applyBorder="1" applyAlignment="1">
      <alignment horizontal="center"/>
    </xf>
    <xf numFmtId="170" fontId="3" fillId="9" borderId="4" xfId="0" applyNumberFormat="1" applyFont="1" applyFill="1" applyBorder="1" applyAlignment="1">
      <alignment horizontal="center"/>
    </xf>
    <xf numFmtId="0" fontId="7" fillId="4" borderId="2" xfId="0" applyFont="1" applyFill="1" applyBorder="1" applyAlignment="1">
      <alignment vertical="center" wrapText="1"/>
    </xf>
    <xf numFmtId="3" fontId="0" fillId="9" borderId="0" xfId="0" applyNumberFormat="1" applyFill="1" applyAlignment="1">
      <alignment horizontal="center" vertical="center"/>
    </xf>
    <xf numFmtId="3" fontId="0" fillId="9" borderId="6" xfId="0" applyNumberFormat="1" applyFill="1" applyBorder="1" applyAlignment="1">
      <alignment horizontal="center" vertical="center"/>
    </xf>
    <xf numFmtId="0" fontId="2" fillId="0" borderId="0" xfId="0" applyFont="1" applyAlignment="1">
      <alignment wrapText="1"/>
    </xf>
    <xf numFmtId="0" fontId="0" fillId="7" borderId="2" xfId="0" applyFill="1" applyBorder="1" applyAlignment="1">
      <alignment wrapText="1"/>
    </xf>
    <xf numFmtId="0" fontId="2" fillId="4" borderId="7" xfId="0" applyFont="1" applyFill="1" applyBorder="1" applyAlignment="1">
      <alignment wrapText="1"/>
    </xf>
    <xf numFmtId="170" fontId="3" fillId="9" borderId="1" xfId="0" applyNumberFormat="1" applyFont="1" applyFill="1" applyBorder="1" applyAlignment="1">
      <alignment horizontal="center"/>
    </xf>
    <xf numFmtId="170" fontId="3" fillId="9" borderId="8" xfId="0" applyNumberFormat="1" applyFont="1" applyFill="1" applyBorder="1" applyAlignment="1">
      <alignment horizontal="center"/>
    </xf>
    <xf numFmtId="0" fontId="0" fillId="7" borderId="24" xfId="0" applyFill="1" applyBorder="1" applyAlignment="1">
      <alignment horizontal="center" vertical="center" wrapText="1"/>
    </xf>
    <xf numFmtId="0" fontId="0" fillId="4" borderId="24" xfId="0" applyFill="1" applyBorder="1" applyAlignment="1">
      <alignment horizontal="center" vertical="center"/>
    </xf>
    <xf numFmtId="1" fontId="0" fillId="0" borderId="5" xfId="0" applyNumberFormat="1" applyBorder="1"/>
    <xf numFmtId="1" fontId="0" fillId="0" borderId="7" xfId="0" applyNumberFormat="1" applyBorder="1"/>
    <xf numFmtId="1" fontId="0" fillId="0" borderId="1" xfId="0" applyNumberFormat="1" applyBorder="1"/>
    <xf numFmtId="170" fontId="2" fillId="4" borderId="0" xfId="0" applyNumberFormat="1" applyFont="1" applyFill="1"/>
    <xf numFmtId="170" fontId="2" fillId="4" borderId="6" xfId="0" applyNumberFormat="1" applyFont="1" applyFill="1" applyBorder="1"/>
    <xf numFmtId="9" fontId="2" fillId="4" borderId="6" xfId="0" applyNumberFormat="1" applyFont="1" applyFill="1" applyBorder="1" applyAlignment="1">
      <alignment horizontal="center" vertical="center"/>
    </xf>
    <xf numFmtId="170" fontId="9" fillId="5" borderId="5" xfId="0" applyNumberFormat="1" applyFont="1" applyFill="1" applyBorder="1" applyAlignment="1">
      <alignment horizontal="center" vertical="center"/>
    </xf>
    <xf numFmtId="170" fontId="2" fillId="4" borderId="6" xfId="0" applyNumberFormat="1" applyFont="1" applyFill="1" applyBorder="1" applyAlignment="1">
      <alignment horizontal="center" vertical="center"/>
    </xf>
    <xf numFmtId="0" fontId="2" fillId="7" borderId="0" xfId="0" applyFont="1" applyFill="1" applyAlignment="1">
      <alignment horizontal="center" vertical="center" wrapText="1"/>
    </xf>
    <xf numFmtId="0" fontId="0" fillId="9" borderId="8" xfId="0" applyFill="1" applyBorder="1"/>
    <xf numFmtId="167" fontId="7" fillId="0" borderId="0" xfId="0" applyNumberFormat="1" applyFont="1"/>
    <xf numFmtId="167" fontId="7" fillId="3" borderId="6" xfId="0" applyNumberFormat="1" applyFont="1" applyFill="1" applyBorder="1" applyAlignment="1">
      <alignment horizontal="center"/>
    </xf>
    <xf numFmtId="0" fontId="13" fillId="7" borderId="0" xfId="0" applyFont="1" applyFill="1" applyAlignment="1">
      <alignment wrapText="1"/>
    </xf>
    <xf numFmtId="0" fontId="2" fillId="7" borderId="9" xfId="0" applyFont="1" applyFill="1" applyBorder="1" applyAlignment="1">
      <alignment wrapText="1"/>
    </xf>
    <xf numFmtId="0" fontId="2" fillId="7" borderId="10" xfId="0" applyFont="1" applyFill="1" applyBorder="1" applyAlignment="1">
      <alignment horizontal="center"/>
    </xf>
    <xf numFmtId="0" fontId="2" fillId="7" borderId="11" xfId="0" applyFont="1" applyFill="1" applyBorder="1" applyAlignment="1">
      <alignment horizontal="center"/>
    </xf>
    <xf numFmtId="0" fontId="0" fillId="4" borderId="2" xfId="0" applyFill="1" applyBorder="1" applyAlignment="1">
      <alignment wrapText="1"/>
    </xf>
    <xf numFmtId="0" fontId="0" fillId="4" borderId="3" xfId="0" applyFill="1" applyBorder="1" applyAlignment="1">
      <alignment horizontal="center"/>
    </xf>
    <xf numFmtId="0" fontId="0" fillId="4" borderId="0" xfId="0" applyFill="1" applyAlignment="1">
      <alignment horizontal="center"/>
    </xf>
    <xf numFmtId="0" fontId="7" fillId="4" borderId="0" xfId="0" applyFont="1" applyFill="1" applyAlignment="1">
      <alignment horizontal="center"/>
    </xf>
    <xf numFmtId="0" fontId="0" fillId="4" borderId="6" xfId="0" applyFill="1" applyBorder="1" applyAlignment="1">
      <alignment horizontal="center"/>
    </xf>
    <xf numFmtId="0" fontId="0" fillId="4" borderId="1" xfId="0" applyFill="1" applyBorder="1"/>
    <xf numFmtId="0" fontId="7" fillId="4" borderId="1" xfId="0" applyFont="1" applyFill="1" applyBorder="1"/>
    <xf numFmtId="0" fontId="0" fillId="4" borderId="8" xfId="0" applyFill="1" applyBorder="1"/>
    <xf numFmtId="0" fontId="13" fillId="7" borderId="9" xfId="0" applyFont="1" applyFill="1" applyBorder="1" applyAlignment="1">
      <alignment vertical="center" wrapText="1"/>
    </xf>
    <xf numFmtId="0" fontId="13" fillId="7" borderId="10" xfId="0" applyFont="1" applyFill="1" applyBorder="1" applyAlignment="1">
      <alignment horizontal="center"/>
    </xf>
    <xf numFmtId="0" fontId="13" fillId="7" borderId="11" xfId="0" applyFont="1" applyFill="1" applyBorder="1" applyAlignment="1">
      <alignment horizontal="center"/>
    </xf>
    <xf numFmtId="0" fontId="0" fillId="4" borderId="3" xfId="0" applyFill="1" applyBorder="1"/>
    <xf numFmtId="170" fontId="2" fillId="4" borderId="2" xfId="0" applyNumberFormat="1" applyFont="1" applyFill="1" applyBorder="1"/>
    <xf numFmtId="170" fontId="2" fillId="4" borderId="3" xfId="0" applyNumberFormat="1" applyFont="1" applyFill="1" applyBorder="1"/>
    <xf numFmtId="170" fontId="2" fillId="4" borderId="4" xfId="0" applyNumberFormat="1" applyFont="1" applyFill="1" applyBorder="1"/>
    <xf numFmtId="0" fontId="0" fillId="9" borderId="5" xfId="0" applyFill="1" applyBorder="1" applyAlignment="1">
      <alignment horizontal="center"/>
    </xf>
    <xf numFmtId="0" fontId="0" fillId="9" borderId="7" xfId="0" applyFill="1" applyBorder="1" applyAlignment="1">
      <alignment horizontal="center"/>
    </xf>
    <xf numFmtId="0" fontId="0" fillId="9" borderId="1" xfId="0" applyFill="1" applyBorder="1" applyAlignment="1">
      <alignment horizontal="center"/>
    </xf>
    <xf numFmtId="0" fontId="0" fillId="9" borderId="8" xfId="0" applyFill="1" applyBorder="1" applyAlignment="1">
      <alignment horizontal="center"/>
    </xf>
    <xf numFmtId="0" fontId="0" fillId="0" borderId="5" xfId="0" applyBorder="1" applyAlignment="1">
      <alignment horizontal="center"/>
    </xf>
    <xf numFmtId="0" fontId="0" fillId="0" borderId="5" xfId="0" applyBorder="1"/>
    <xf numFmtId="164" fontId="0" fillId="9" borderId="5" xfId="3" applyFont="1" applyFill="1" applyBorder="1" applyAlignment="1">
      <alignment horizontal="center" vertical="center"/>
    </xf>
    <xf numFmtId="164" fontId="0" fillId="9" borderId="6" xfId="3" applyFont="1" applyFill="1" applyBorder="1" applyAlignment="1">
      <alignment horizontal="center" vertical="center"/>
    </xf>
    <xf numFmtId="9" fontId="0" fillId="7" borderId="2" xfId="0" applyNumberFormat="1" applyFill="1" applyBorder="1"/>
    <xf numFmtId="9" fontId="0" fillId="7" borderId="3" xfId="0" applyNumberFormat="1" applyFill="1" applyBorder="1"/>
    <xf numFmtId="170" fontId="0" fillId="7" borderId="3" xfId="0" applyNumberFormat="1" applyFill="1" applyBorder="1"/>
    <xf numFmtId="49" fontId="0" fillId="4" borderId="13" xfId="0" applyNumberFormat="1" applyFill="1" applyBorder="1" applyAlignment="1">
      <alignment horizontal="center" vertical="center"/>
    </xf>
    <xf numFmtId="49" fontId="0" fillId="9" borderId="13" xfId="0" applyNumberFormat="1" applyFill="1" applyBorder="1" applyAlignment="1">
      <alignment horizontal="center" vertical="center" wrapText="1"/>
    </xf>
    <xf numFmtId="0" fontId="0" fillId="0" borderId="13" xfId="0" applyBorder="1"/>
    <xf numFmtId="0" fontId="0" fillId="0" borderId="14" xfId="0" applyBorder="1"/>
    <xf numFmtId="3" fontId="9" fillId="5" borderId="5" xfId="0" applyNumberFormat="1" applyFont="1" applyFill="1" applyBorder="1" applyAlignment="1">
      <alignment horizontal="center" vertical="center"/>
    </xf>
    <xf numFmtId="3" fontId="0" fillId="9" borderId="5" xfId="0" applyNumberFormat="1" applyFill="1" applyBorder="1" applyAlignment="1">
      <alignment horizontal="center" vertical="center"/>
    </xf>
    <xf numFmtId="9" fontId="9" fillId="5" borderId="5" xfId="0" applyNumberFormat="1" applyFont="1" applyFill="1" applyBorder="1" applyAlignment="1">
      <alignment horizontal="center" vertical="center"/>
    </xf>
    <xf numFmtId="49" fontId="2" fillId="4" borderId="13" xfId="0" applyNumberFormat="1" applyFont="1" applyFill="1" applyBorder="1" applyAlignment="1">
      <alignment horizontal="center" vertical="center"/>
    </xf>
    <xf numFmtId="0" fontId="2" fillId="0" borderId="0" xfId="0" applyFont="1" applyAlignment="1">
      <alignment horizontal="center" wrapText="1"/>
    </xf>
    <xf numFmtId="49" fontId="7" fillId="0" borderId="0" xfId="0" applyNumberFormat="1" applyFont="1" applyAlignment="1">
      <alignment wrapText="1"/>
    </xf>
    <xf numFmtId="1" fontId="0" fillId="9" borderId="6" xfId="0" applyNumberFormat="1" applyFill="1" applyBorder="1"/>
    <xf numFmtId="1" fontId="0" fillId="9" borderId="8" xfId="0" applyNumberFormat="1" applyFill="1" applyBorder="1"/>
    <xf numFmtId="9" fontId="0" fillId="9" borderId="6" xfId="0" applyNumberFormat="1" applyFill="1" applyBorder="1"/>
    <xf numFmtId="9" fontId="0" fillId="9" borderId="1" xfId="0" applyNumberFormat="1" applyFill="1" applyBorder="1"/>
    <xf numFmtId="9" fontId="0" fillId="9" borderId="8" xfId="0" applyNumberFormat="1" applyFill="1" applyBorder="1"/>
    <xf numFmtId="1" fontId="0" fillId="9" borderId="5" xfId="0" applyNumberFormat="1" applyFill="1" applyBorder="1"/>
    <xf numFmtId="0" fontId="2" fillId="7" borderId="12" xfId="0" applyFont="1" applyFill="1" applyBorder="1" applyAlignment="1">
      <alignment vertical="center" wrapText="1"/>
    </xf>
    <xf numFmtId="0" fontId="2" fillId="7" borderId="12" xfId="0" applyFont="1" applyFill="1" applyBorder="1"/>
    <xf numFmtId="0" fontId="0" fillId="4" borderId="13" xfId="0" applyFill="1" applyBorder="1" applyAlignment="1">
      <alignment vertical="center" wrapText="1"/>
    </xf>
    <xf numFmtId="0" fontId="2" fillId="4" borderId="13" xfId="0" applyFont="1" applyFill="1" applyBorder="1" applyAlignment="1">
      <alignment wrapText="1"/>
    </xf>
    <xf numFmtId="0" fontId="7" fillId="4" borderId="13" xfId="0" applyFont="1" applyFill="1" applyBorder="1" applyAlignment="1">
      <alignment vertical="center" wrapText="1"/>
    </xf>
    <xf numFmtId="1" fontId="0" fillId="0" borderId="5" xfId="0" applyNumberFormat="1" applyBorder="1" applyAlignment="1">
      <alignment horizontal="center"/>
    </xf>
    <xf numFmtId="0" fontId="7" fillId="9" borderId="6" xfId="0" applyFont="1" applyFill="1" applyBorder="1" applyAlignment="1">
      <alignment horizontal="center"/>
    </xf>
    <xf numFmtId="1" fontId="0" fillId="9" borderId="7" xfId="0" applyNumberFormat="1" applyFill="1" applyBorder="1"/>
    <xf numFmtId="167" fontId="7" fillId="3" borderId="7" xfId="0" applyNumberFormat="1" applyFont="1" applyFill="1" applyBorder="1" applyAlignment="1">
      <alignment horizontal="center"/>
    </xf>
    <xf numFmtId="0" fontId="2" fillId="4" borderId="5" xfId="0" applyFont="1" applyFill="1" applyBorder="1" applyAlignment="1">
      <alignment wrapText="1"/>
    </xf>
    <xf numFmtId="0" fontId="21" fillId="4" borderId="7" xfId="0" applyFont="1" applyFill="1" applyBorder="1" applyAlignment="1">
      <alignment wrapText="1"/>
    </xf>
    <xf numFmtId="1" fontId="0" fillId="0" borderId="6" xfId="0" applyNumberFormat="1" applyBorder="1"/>
    <xf numFmtId="1" fontId="0" fillId="0" borderId="8" xfId="0" applyNumberFormat="1" applyBorder="1"/>
    <xf numFmtId="0" fontId="2" fillId="0" borderId="5" xfId="0" applyFont="1" applyBorder="1" applyAlignment="1">
      <alignment horizontal="center" wrapText="1"/>
    </xf>
    <xf numFmtId="0" fontId="2" fillId="0" borderId="6" xfId="0" applyFont="1" applyBorder="1" applyAlignment="1">
      <alignment horizontal="center" wrapText="1"/>
    </xf>
    <xf numFmtId="9" fontId="0" fillId="0" borderId="5" xfId="0" applyNumberFormat="1" applyBorder="1" applyAlignment="1">
      <alignment horizontal="center" vertical="center"/>
    </xf>
    <xf numFmtId="9" fontId="0" fillId="0" borderId="0" xfId="0" applyNumberFormat="1" applyAlignment="1">
      <alignment horizontal="center" vertical="center"/>
    </xf>
    <xf numFmtId="9" fontId="0" fillId="0" borderId="6" xfId="0" applyNumberFormat="1" applyBorder="1" applyAlignment="1">
      <alignment horizontal="center" vertical="center"/>
    </xf>
    <xf numFmtId="170" fontId="0" fillId="0" borderId="5" xfId="0" applyNumberFormat="1" applyBorder="1" applyAlignment="1">
      <alignment horizontal="center" vertical="center" wrapText="1"/>
    </xf>
    <xf numFmtId="170" fontId="3" fillId="0" borderId="0" xfId="0" applyNumberFormat="1" applyFont="1" applyAlignment="1">
      <alignment horizontal="center" vertical="center"/>
    </xf>
    <xf numFmtId="170" fontId="3" fillId="0" borderId="6" xfId="0" applyNumberFormat="1" applyFont="1" applyBorder="1" applyAlignment="1">
      <alignment horizontal="center" vertical="center"/>
    </xf>
    <xf numFmtId="0" fontId="0" fillId="0" borderId="5" xfId="0" applyBorder="1" applyAlignment="1">
      <alignment horizontal="center" vertical="center"/>
    </xf>
    <xf numFmtId="169" fontId="0" fillId="0" borderId="6" xfId="3" applyNumberFormat="1" applyFont="1" applyFill="1" applyBorder="1" applyAlignment="1">
      <alignment horizontal="center" vertical="center"/>
    </xf>
    <xf numFmtId="49" fontId="0" fillId="0" borderId="13" xfId="0" applyNumberFormat="1" applyBorder="1" applyAlignment="1">
      <alignment horizontal="center" vertical="center"/>
    </xf>
    <xf numFmtId="0" fontId="0" fillId="0" borderId="0" xfId="0" applyAlignment="1">
      <alignment horizontal="center" vertical="center" wrapText="1"/>
    </xf>
    <xf numFmtId="169" fontId="0" fillId="0" borderId="5" xfId="3" applyNumberFormat="1" applyFont="1" applyFill="1" applyBorder="1" applyAlignment="1">
      <alignment horizontal="center" vertical="center" wrapText="1"/>
    </xf>
    <xf numFmtId="169" fontId="0" fillId="0" borderId="0" xfId="3" applyNumberFormat="1" applyFont="1" applyFill="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49" fontId="0" fillId="0" borderId="13" xfId="0" applyNumberFormat="1" applyBorder="1" applyAlignment="1">
      <alignment horizontal="center" vertical="center" wrapText="1"/>
    </xf>
    <xf numFmtId="9" fontId="2" fillId="4" borderId="0" xfId="0" applyNumberFormat="1" applyFont="1" applyFill="1" applyAlignment="1">
      <alignment horizontal="center" vertical="center" wrapText="1"/>
    </xf>
    <xf numFmtId="170" fontId="2" fillId="4" borderId="0" xfId="0" applyNumberFormat="1" applyFont="1" applyFill="1" applyAlignment="1">
      <alignment horizontal="center" vertical="center" wrapText="1"/>
    </xf>
    <xf numFmtId="174" fontId="0" fillId="0" borderId="0" xfId="0" applyNumberFormat="1" applyAlignment="1">
      <alignment vertical="center"/>
    </xf>
    <xf numFmtId="9" fontId="0" fillId="7" borderId="4" xfId="0" applyNumberFormat="1" applyFill="1" applyBorder="1"/>
    <xf numFmtId="9" fontId="2" fillId="4" borderId="5" xfId="0" applyNumberFormat="1" applyFont="1" applyFill="1" applyBorder="1" applyAlignment="1">
      <alignment horizontal="center" vertical="center" wrapText="1"/>
    </xf>
    <xf numFmtId="9" fontId="2" fillId="4" borderId="6" xfId="0" applyNumberFormat="1" applyFont="1" applyFill="1" applyBorder="1" applyAlignment="1">
      <alignment horizontal="center" vertical="center" wrapText="1"/>
    </xf>
    <xf numFmtId="170" fontId="0" fillId="7" borderId="2" xfId="0" applyNumberFormat="1" applyFill="1" applyBorder="1"/>
    <xf numFmtId="170" fontId="0" fillId="7" borderId="4" xfId="0" applyNumberFormat="1" applyFill="1" applyBorder="1"/>
    <xf numFmtId="170" fontId="2" fillId="4" borderId="5" xfId="0" applyNumberFormat="1" applyFont="1" applyFill="1" applyBorder="1" applyAlignment="1">
      <alignment horizontal="center" vertical="center" wrapText="1"/>
    </xf>
    <xf numFmtId="170" fontId="2" fillId="4" borderId="6" xfId="0" applyNumberFormat="1" applyFont="1" applyFill="1" applyBorder="1" applyAlignment="1">
      <alignment horizontal="center" vertical="center" wrapText="1"/>
    </xf>
    <xf numFmtId="3" fontId="0" fillId="9" borderId="7" xfId="0" applyNumberFormat="1" applyFill="1" applyBorder="1" applyAlignment="1">
      <alignment horizontal="center" vertical="center"/>
    </xf>
    <xf numFmtId="3" fontId="0" fillId="9" borderId="1" xfId="0" applyNumberFormat="1" applyFill="1" applyBorder="1" applyAlignment="1">
      <alignment horizontal="center" vertical="center"/>
    </xf>
    <xf numFmtId="3" fontId="0" fillId="9" borderId="8" xfId="0" applyNumberFormat="1" applyFill="1" applyBorder="1" applyAlignment="1">
      <alignment horizontal="center" vertical="center"/>
    </xf>
    <xf numFmtId="49" fontId="0" fillId="7" borderId="12" xfId="0" applyNumberFormat="1" applyFill="1" applyBorder="1" applyAlignment="1">
      <alignment horizontal="center" vertical="center"/>
    </xf>
    <xf numFmtId="49" fontId="2" fillId="7" borderId="13" xfId="0" applyNumberFormat="1" applyFont="1" applyFill="1" applyBorder="1" applyAlignment="1">
      <alignment horizontal="center" vertical="center" wrapText="1"/>
    </xf>
    <xf numFmtId="49" fontId="0" fillId="9" borderId="14" xfId="0" applyNumberFormat="1" applyFill="1" applyBorder="1" applyAlignment="1">
      <alignment horizontal="center" vertical="center" wrapText="1"/>
    </xf>
    <xf numFmtId="0" fontId="0" fillId="0" borderId="13" xfId="0" applyBorder="1" applyAlignment="1">
      <alignment horizontal="center"/>
    </xf>
    <xf numFmtId="1" fontId="0" fillId="9" borderId="13" xfId="0" applyNumberFormat="1" applyFill="1" applyBorder="1" applyAlignment="1">
      <alignment horizontal="center"/>
    </xf>
    <xf numFmtId="1" fontId="0" fillId="9" borderId="14" xfId="0" applyNumberFormat="1" applyFill="1" applyBorder="1" applyAlignment="1">
      <alignment horizontal="center"/>
    </xf>
    <xf numFmtId="0" fontId="2" fillId="0" borderId="7" xfId="0" applyFont="1" applyBorder="1"/>
    <xf numFmtId="0" fontId="7" fillId="3" borderId="0" xfId="0" applyFont="1" applyFill="1" applyAlignment="1">
      <alignment horizontal="center"/>
    </xf>
    <xf numFmtId="164" fontId="0" fillId="9" borderId="5" xfId="3" applyFont="1" applyFill="1" applyBorder="1" applyAlignment="1">
      <alignment vertical="center"/>
    </xf>
    <xf numFmtId="164" fontId="0" fillId="9" borderId="0" xfId="3" applyFont="1" applyFill="1" applyBorder="1" applyAlignment="1">
      <alignment vertical="center"/>
    </xf>
    <xf numFmtId="164" fontId="0" fillId="9" borderId="6" xfId="3" applyFont="1" applyFill="1" applyBorder="1" applyAlignment="1">
      <alignment vertical="center"/>
    </xf>
    <xf numFmtId="1" fontId="0" fillId="0" borderId="7" xfId="0" applyNumberFormat="1" applyBorder="1" applyAlignment="1">
      <alignment horizontal="center"/>
    </xf>
    <xf numFmtId="1" fontId="0" fillId="0" borderId="1" xfId="0" applyNumberFormat="1" applyBorder="1" applyAlignment="1">
      <alignment horizontal="center"/>
    </xf>
    <xf numFmtId="170" fontId="3" fillId="9" borderId="5" xfId="0" applyNumberFormat="1" applyFont="1" applyFill="1" applyBorder="1" applyAlignment="1">
      <alignment horizontal="center"/>
    </xf>
    <xf numFmtId="170" fontId="3" fillId="9" borderId="7" xfId="0" applyNumberFormat="1" applyFont="1" applyFill="1" applyBorder="1" applyAlignment="1">
      <alignment horizontal="center"/>
    </xf>
    <xf numFmtId="49" fontId="13" fillId="13" borderId="0" xfId="0" applyNumberFormat="1" applyFont="1" applyFill="1" applyAlignment="1">
      <alignment vertical="center" wrapText="1"/>
    </xf>
    <xf numFmtId="49" fontId="7" fillId="7" borderId="0" xfId="0" applyNumberFormat="1" applyFont="1" applyFill="1" applyAlignment="1">
      <alignment wrapText="1"/>
    </xf>
    <xf numFmtId="9" fontId="7" fillId="0" borderId="0" xfId="0" applyNumberFormat="1" applyFont="1" applyAlignment="1">
      <alignment horizontal="center"/>
    </xf>
    <xf numFmtId="9" fontId="7" fillId="3" borderId="7" xfId="0" applyNumberFormat="1" applyFont="1" applyFill="1" applyBorder="1" applyAlignment="1">
      <alignment horizontal="center"/>
    </xf>
    <xf numFmtId="9" fontId="7" fillId="3" borderId="1" xfId="0" applyNumberFormat="1" applyFont="1" applyFill="1" applyBorder="1" applyAlignment="1">
      <alignment horizontal="center"/>
    </xf>
    <xf numFmtId="9" fontId="7" fillId="3" borderId="8" xfId="0" applyNumberFormat="1" applyFont="1" applyFill="1" applyBorder="1" applyAlignment="1">
      <alignment horizontal="center"/>
    </xf>
    <xf numFmtId="167" fontId="7" fillId="4" borderId="1" xfId="0" applyNumberFormat="1" applyFont="1" applyFill="1" applyBorder="1" applyAlignment="1">
      <alignment horizontal="center"/>
    </xf>
    <xf numFmtId="167" fontId="0" fillId="3" borderId="3" xfId="0" applyNumberFormat="1" applyFill="1" applyBorder="1" applyAlignment="1">
      <alignment horizontal="center"/>
    </xf>
    <xf numFmtId="167" fontId="0" fillId="3" borderId="4" xfId="0" applyNumberFormat="1" applyFill="1" applyBorder="1" applyAlignment="1">
      <alignment horizontal="center"/>
    </xf>
    <xf numFmtId="0" fontId="7" fillId="11" borderId="7" xfId="0" applyFont="1" applyFill="1" applyBorder="1" applyAlignment="1">
      <alignment vertical="center" wrapText="1"/>
    </xf>
    <xf numFmtId="0" fontId="7" fillId="11" borderId="5" xfId="0" applyFont="1" applyFill="1" applyBorder="1" applyAlignment="1">
      <alignment vertical="center" wrapText="1"/>
    </xf>
    <xf numFmtId="0" fontId="0" fillId="11" borderId="2" xfId="0" applyFill="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2" fillId="7" borderId="24" xfId="0" applyFont="1" applyFill="1" applyBorder="1"/>
    <xf numFmtId="0" fontId="0" fillId="4" borderId="13" xfId="0" applyFill="1" applyBorder="1" applyAlignment="1">
      <alignment horizontal="center"/>
    </xf>
    <xf numFmtId="1" fontId="0" fillId="0" borderId="6" xfId="0" applyNumberFormat="1" applyBorder="1" applyAlignment="1">
      <alignment horizontal="center"/>
    </xf>
    <xf numFmtId="168" fontId="0" fillId="0" borderId="7" xfId="0" applyNumberFormat="1" applyBorder="1" applyAlignment="1">
      <alignment horizontal="center"/>
    </xf>
    <xf numFmtId="168" fontId="0" fillId="0" borderId="1" xfId="0" applyNumberFormat="1" applyBorder="1" applyAlignment="1">
      <alignment horizontal="center"/>
    </xf>
    <xf numFmtId="168" fontId="0" fillId="0" borderId="8" xfId="0" applyNumberFormat="1" applyBorder="1" applyAlignment="1">
      <alignment horizontal="center"/>
    </xf>
    <xf numFmtId="0" fontId="0" fillId="0" borderId="7" xfId="0" applyBorder="1" applyAlignment="1">
      <alignment horizontal="center"/>
    </xf>
    <xf numFmtId="1" fontId="0" fillId="0" borderId="8" xfId="0" applyNumberFormat="1" applyBorder="1" applyAlignment="1">
      <alignment horizontal="center"/>
    </xf>
    <xf numFmtId="0" fontId="0" fillId="0" borderId="14" xfId="0" applyBorder="1" applyAlignment="1">
      <alignment horizontal="center"/>
    </xf>
    <xf numFmtId="49" fontId="19" fillId="8" borderId="0" xfId="0" applyNumberFormat="1" applyFont="1" applyFill="1" applyAlignment="1">
      <alignment horizontal="center" wrapText="1"/>
    </xf>
    <xf numFmtId="167" fontId="6" fillId="15" borderId="0" xfId="0" applyNumberFormat="1" applyFont="1" applyFill="1" applyAlignment="1">
      <alignment horizontal="center" wrapText="1"/>
    </xf>
    <xf numFmtId="167" fontId="7" fillId="15" borderId="0" xfId="0" applyNumberFormat="1" applyFont="1" applyFill="1" applyAlignment="1">
      <alignment horizontal="center" wrapText="1"/>
    </xf>
    <xf numFmtId="167" fontId="6" fillId="9" borderId="0" xfId="0" applyNumberFormat="1" applyFont="1" applyFill="1" applyAlignment="1">
      <alignment horizontal="center" wrapText="1"/>
    </xf>
    <xf numFmtId="1" fontId="6" fillId="14" borderId="0" xfId="0" quotePrefix="1" applyNumberFormat="1" applyFont="1" applyFill="1" applyAlignment="1">
      <alignment horizontal="center" wrapText="1"/>
    </xf>
    <xf numFmtId="9" fontId="0" fillId="15" borderId="0" xfId="0" applyNumberFormat="1" applyFill="1" applyAlignment="1">
      <alignment horizontal="center" wrapText="1"/>
    </xf>
    <xf numFmtId="1" fontId="6" fillId="9" borderId="0" xfId="0" applyNumberFormat="1" applyFont="1" applyFill="1" applyAlignment="1">
      <alignment horizontal="center" wrapText="1"/>
    </xf>
    <xf numFmtId="9" fontId="7" fillId="15" borderId="0" xfId="0" applyNumberFormat="1" applyFont="1" applyFill="1" applyAlignment="1">
      <alignment horizontal="center" wrapText="1"/>
    </xf>
    <xf numFmtId="168" fontId="6" fillId="9" borderId="0" xfId="0" applyNumberFormat="1" applyFont="1" applyFill="1" applyAlignment="1">
      <alignment horizontal="center" wrapText="1"/>
    </xf>
    <xf numFmtId="49" fontId="19" fillId="7" borderId="0" xfId="0" applyNumberFormat="1" applyFont="1" applyFill="1" applyAlignment="1">
      <alignment horizontal="center" wrapText="1"/>
    </xf>
    <xf numFmtId="167" fontId="0" fillId="0" borderId="6" xfId="0" applyNumberFormat="1" applyBorder="1" applyAlignment="1">
      <alignment horizontal="center"/>
    </xf>
    <xf numFmtId="170" fontId="2" fillId="0" borderId="1" xfId="0" applyNumberFormat="1" applyFont="1" applyBorder="1" applyAlignment="1">
      <alignment horizontal="center"/>
    </xf>
    <xf numFmtId="1" fontId="0" fillId="9" borderId="6" xfId="0" applyNumberFormat="1" applyFill="1" applyBorder="1" applyAlignment="1">
      <alignment horizontal="center" vertical="center"/>
    </xf>
    <xf numFmtId="2" fontId="0" fillId="9" borderId="7" xfId="0" applyNumberFormat="1" applyFill="1" applyBorder="1" applyAlignment="1">
      <alignment horizontal="center"/>
    </xf>
    <xf numFmtId="2" fontId="0" fillId="9" borderId="1" xfId="0" applyNumberFormat="1" applyFill="1" applyBorder="1" applyAlignment="1">
      <alignment horizontal="center"/>
    </xf>
    <xf numFmtId="2" fontId="0" fillId="9" borderId="8" xfId="0" applyNumberFormat="1" applyFill="1" applyBorder="1" applyAlignment="1">
      <alignment horizontal="center"/>
    </xf>
    <xf numFmtId="174" fontId="12" fillId="0" borderId="0" xfId="0" applyNumberFormat="1" applyFont="1" applyAlignment="1">
      <alignment vertical="center"/>
    </xf>
    <xf numFmtId="169" fontId="0" fillId="0" borderId="6" xfId="3" applyNumberFormat="1" applyFont="1" applyFill="1" applyBorder="1" applyAlignment="1">
      <alignment horizontal="center" vertical="center" wrapText="1"/>
    </xf>
    <xf numFmtId="0" fontId="0" fillId="7" borderId="6" xfId="0" applyFill="1" applyBorder="1"/>
    <xf numFmtId="3" fontId="9" fillId="8" borderId="3" xfId="0" applyNumberFormat="1" applyFont="1" applyFill="1" applyBorder="1" applyAlignment="1">
      <alignment horizontal="center"/>
    </xf>
    <xf numFmtId="0" fontId="0" fillId="9" borderId="5" xfId="0" applyFill="1" applyBorder="1" applyAlignment="1">
      <alignment wrapText="1"/>
    </xf>
    <xf numFmtId="0" fontId="0" fillId="9" borderId="7" xfId="0" applyFill="1" applyBorder="1" applyAlignment="1">
      <alignment wrapText="1"/>
    </xf>
    <xf numFmtId="168" fontId="25" fillId="0" borderId="0" xfId="0" applyNumberFormat="1" applyFont="1"/>
    <xf numFmtId="0" fontId="0" fillId="4" borderId="2" xfId="0" applyFill="1" applyBorder="1" applyAlignment="1">
      <alignment vertical="center" wrapText="1"/>
    </xf>
    <xf numFmtId="9" fontId="0" fillId="9" borderId="3" xfId="0" applyNumberFormat="1" applyFill="1" applyBorder="1"/>
    <xf numFmtId="0" fontId="0" fillId="0" borderId="3" xfId="0" applyBorder="1"/>
    <xf numFmtId="0" fontId="0" fillId="0" borderId="2" xfId="0" applyBorder="1" applyAlignment="1">
      <alignment horizontal="center"/>
    </xf>
    <xf numFmtId="0" fontId="0" fillId="0" borderId="3" xfId="0" applyBorder="1" applyAlignment="1">
      <alignment horizontal="center" wrapText="1"/>
    </xf>
    <xf numFmtId="0" fontId="0" fillId="0" borderId="3" xfId="0" applyBorder="1" applyAlignment="1">
      <alignment horizontal="center"/>
    </xf>
    <xf numFmtId="0" fontId="7" fillId="0" borderId="3" xfId="0" applyFont="1" applyBorder="1" applyAlignment="1">
      <alignment horizontal="center"/>
    </xf>
    <xf numFmtId="0" fontId="7" fillId="0" borderId="3" xfId="0" applyFont="1" applyBorder="1" applyAlignment="1">
      <alignment horizontal="center" wrapText="1"/>
    </xf>
    <xf numFmtId="0" fontId="7" fillId="0" borderId="4" xfId="0" applyFont="1" applyBorder="1" applyAlignment="1">
      <alignment horizontal="center" wrapText="1"/>
    </xf>
    <xf numFmtId="166" fontId="0" fillId="3" borderId="5" xfId="0" applyNumberFormat="1" applyFill="1" applyBorder="1" applyAlignment="1">
      <alignment horizontal="center"/>
    </xf>
    <xf numFmtId="166" fontId="0" fillId="9" borderId="5" xfId="0" applyNumberFormat="1" applyFill="1" applyBorder="1" applyAlignment="1">
      <alignment horizontal="center"/>
    </xf>
    <xf numFmtId="166" fontId="0" fillId="0" borderId="7" xfId="0" applyNumberFormat="1" applyBorder="1" applyAlignment="1">
      <alignment horizontal="center"/>
    </xf>
    <xf numFmtId="3" fontId="7" fillId="4" borderId="0" xfId="0" applyNumberFormat="1" applyFont="1" applyFill="1" applyAlignment="1">
      <alignment horizontal="right"/>
    </xf>
    <xf numFmtId="3" fontId="7" fillId="0" borderId="0" xfId="0" applyNumberFormat="1" applyFont="1" applyAlignment="1">
      <alignment horizontal="right"/>
    </xf>
    <xf numFmtId="3" fontId="13" fillId="8" borderId="2" xfId="0" applyNumberFormat="1" applyFont="1" applyFill="1" applyBorder="1" applyAlignment="1">
      <alignment horizontal="center"/>
    </xf>
    <xf numFmtId="3" fontId="7" fillId="15" borderId="5" xfId="0" applyNumberFormat="1" applyFont="1" applyFill="1" applyBorder="1" applyAlignment="1">
      <alignment horizontal="center"/>
    </xf>
    <xf numFmtId="3" fontId="7" fillId="15" borderId="0" xfId="0" applyNumberFormat="1" applyFont="1" applyFill="1" applyAlignment="1">
      <alignment horizontal="center"/>
    </xf>
    <xf numFmtId="3" fontId="7" fillId="15" borderId="6" xfId="0" applyNumberFormat="1" applyFont="1" applyFill="1" applyBorder="1" applyAlignment="1">
      <alignment horizontal="center"/>
    </xf>
    <xf numFmtId="3" fontId="7" fillId="15" borderId="7" xfId="0" applyNumberFormat="1" applyFont="1" applyFill="1" applyBorder="1" applyAlignment="1">
      <alignment horizontal="center"/>
    </xf>
    <xf numFmtId="3" fontId="7" fillId="15" borderId="1" xfId="0" applyNumberFormat="1" applyFont="1" applyFill="1" applyBorder="1" applyAlignment="1">
      <alignment horizontal="center"/>
    </xf>
    <xf numFmtId="3" fontId="7" fillId="15" borderId="8" xfId="0" applyNumberFormat="1" applyFont="1" applyFill="1" applyBorder="1" applyAlignment="1">
      <alignment horizontal="center"/>
    </xf>
    <xf numFmtId="0" fontId="2" fillId="4" borderId="2" xfId="0" applyFont="1" applyFill="1" applyBorder="1" applyAlignment="1">
      <alignment horizontal="center"/>
    </xf>
    <xf numFmtId="170" fontId="2" fillId="4" borderId="2" xfId="0" applyNumberFormat="1" applyFont="1" applyFill="1" applyBorder="1" applyAlignment="1">
      <alignment horizontal="center"/>
    </xf>
    <xf numFmtId="170" fontId="2" fillId="4" borderId="3" xfId="0" applyNumberFormat="1" applyFont="1" applyFill="1" applyBorder="1" applyAlignment="1">
      <alignment horizontal="center"/>
    </xf>
    <xf numFmtId="170" fontId="2" fillId="4" borderId="4" xfId="0" applyNumberFormat="1" applyFont="1" applyFill="1" applyBorder="1" applyAlignment="1">
      <alignment horizontal="center"/>
    </xf>
    <xf numFmtId="168" fontId="0" fillId="9" borderId="7" xfId="0" applyNumberFormat="1" applyFill="1" applyBorder="1" applyAlignment="1">
      <alignment horizontal="center"/>
    </xf>
    <xf numFmtId="168" fontId="0" fillId="9" borderId="1" xfId="0" applyNumberFormat="1" applyFill="1" applyBorder="1" applyAlignment="1">
      <alignment horizontal="center"/>
    </xf>
    <xf numFmtId="168" fontId="0" fillId="9" borderId="8" xfId="0" applyNumberFormat="1" applyFill="1" applyBorder="1" applyAlignment="1">
      <alignment horizontal="center"/>
    </xf>
    <xf numFmtId="10" fontId="0" fillId="9" borderId="5" xfId="0" applyNumberFormat="1" applyFill="1" applyBorder="1"/>
    <xf numFmtId="3" fontId="13" fillId="5" borderId="5" xfId="0" applyNumberFormat="1" applyFont="1" applyFill="1" applyBorder="1" applyAlignment="1">
      <alignment horizontal="center"/>
    </xf>
    <xf numFmtId="169" fontId="0" fillId="9" borderId="5" xfId="3" applyNumberFormat="1" applyFont="1" applyFill="1" applyBorder="1" applyAlignment="1">
      <alignment horizontal="center"/>
    </xf>
    <xf numFmtId="169" fontId="0" fillId="9" borderId="0" xfId="3" applyNumberFormat="1" applyFont="1" applyFill="1" applyBorder="1" applyAlignment="1">
      <alignment horizontal="center"/>
    </xf>
    <xf numFmtId="169" fontId="0" fillId="9" borderId="6" xfId="3" applyNumberFormat="1" applyFont="1" applyFill="1" applyBorder="1" applyAlignment="1">
      <alignment horizontal="center"/>
    </xf>
    <xf numFmtId="169" fontId="0" fillId="9" borderId="7" xfId="3" applyNumberFormat="1" applyFont="1" applyFill="1" applyBorder="1" applyAlignment="1">
      <alignment horizontal="center"/>
    </xf>
    <xf numFmtId="169" fontId="0" fillId="9" borderId="1" xfId="3" applyNumberFormat="1" applyFont="1" applyFill="1" applyBorder="1" applyAlignment="1">
      <alignment horizontal="center"/>
    </xf>
    <xf numFmtId="169" fontId="0" fillId="9" borderId="8" xfId="3" applyNumberFormat="1" applyFont="1" applyFill="1" applyBorder="1" applyAlignment="1">
      <alignment horizontal="center"/>
    </xf>
    <xf numFmtId="3" fontId="0" fillId="9" borderId="1" xfId="0" applyNumberFormat="1" applyFill="1" applyBorder="1" applyAlignment="1">
      <alignment horizontal="center"/>
    </xf>
    <xf numFmtId="3" fontId="0" fillId="9" borderId="8" xfId="0" applyNumberFormat="1" applyFill="1" applyBorder="1" applyAlignment="1">
      <alignment horizontal="center"/>
    </xf>
    <xf numFmtId="0" fontId="7" fillId="9" borderId="13" xfId="0" applyFont="1" applyFill="1" applyBorder="1" applyAlignment="1">
      <alignment horizontal="center"/>
    </xf>
    <xf numFmtId="169" fontId="9" fillId="8" borderId="5" xfId="3" applyNumberFormat="1" applyFont="1" applyFill="1" applyBorder="1" applyAlignment="1">
      <alignment horizontal="center"/>
    </xf>
    <xf numFmtId="169" fontId="2" fillId="7" borderId="0" xfId="3" applyNumberFormat="1" applyFont="1" applyFill="1" applyBorder="1" applyAlignment="1">
      <alignment horizontal="center"/>
    </xf>
    <xf numFmtId="169" fontId="2" fillId="7" borderId="6" xfId="3" applyNumberFormat="1" applyFont="1" applyFill="1" applyBorder="1" applyAlignment="1">
      <alignment horizontal="center"/>
    </xf>
    <xf numFmtId="169" fontId="0" fillId="9" borderId="2" xfId="3" applyNumberFormat="1" applyFont="1" applyFill="1" applyBorder="1" applyAlignment="1">
      <alignment horizontal="center"/>
    </xf>
    <xf numFmtId="169" fontId="0" fillId="9" borderId="3" xfId="3" applyNumberFormat="1" applyFont="1" applyFill="1" applyBorder="1" applyAlignment="1">
      <alignment horizontal="center"/>
    </xf>
    <xf numFmtId="169" fontId="0" fillId="9" borderId="4" xfId="3" applyNumberFormat="1" applyFont="1" applyFill="1" applyBorder="1" applyAlignment="1">
      <alignment horizontal="center"/>
    </xf>
    <xf numFmtId="0" fontId="0" fillId="10" borderId="2" xfId="0" applyFill="1" applyBorder="1" applyAlignment="1">
      <alignment wrapText="1"/>
    </xf>
    <xf numFmtId="0" fontId="0" fillId="10" borderId="3" xfId="0" applyFill="1" applyBorder="1" applyAlignment="1">
      <alignment wrapText="1"/>
    </xf>
    <xf numFmtId="0" fontId="0" fillId="10" borderId="3" xfId="0" applyFill="1" applyBorder="1" applyAlignment="1">
      <alignment horizontal="center" wrapText="1"/>
    </xf>
    <xf numFmtId="0" fontId="0" fillId="10" borderId="4" xfId="0" applyFill="1" applyBorder="1" applyAlignment="1">
      <alignment wrapText="1"/>
    </xf>
    <xf numFmtId="0" fontId="0" fillId="11" borderId="5" xfId="0" applyFill="1" applyBorder="1" applyAlignment="1">
      <alignment wrapText="1"/>
    </xf>
    <xf numFmtId="0" fontId="0" fillId="18" borderId="0" xfId="0" applyFill="1" applyAlignment="1">
      <alignment horizontal="center"/>
    </xf>
    <xf numFmtId="167" fontId="0" fillId="18" borderId="0" xfId="0" applyNumberFormat="1" applyFill="1" applyAlignment="1">
      <alignment horizontal="center"/>
    </xf>
    <xf numFmtId="0" fontId="0" fillId="18" borderId="6" xfId="0" applyFill="1" applyBorder="1"/>
    <xf numFmtId="0" fontId="0" fillId="11" borderId="7" xfId="0" applyFill="1" applyBorder="1" applyAlignment="1">
      <alignment wrapText="1"/>
    </xf>
    <xf numFmtId="0" fontId="0" fillId="18" borderId="1" xfId="0" applyFill="1" applyBorder="1" applyAlignment="1">
      <alignment horizontal="center"/>
    </xf>
    <xf numFmtId="0" fontId="0" fillId="18" borderId="1" xfId="0" applyFill="1" applyBorder="1"/>
    <xf numFmtId="0" fontId="0" fillId="18" borderId="8" xfId="0" applyFill="1" applyBorder="1"/>
    <xf numFmtId="3" fontId="0" fillId="0" borderId="0" xfId="0" applyNumberFormat="1" applyAlignment="1">
      <alignment vertical="center"/>
    </xf>
    <xf numFmtId="3" fontId="0" fillId="3" borderId="0" xfId="0" applyNumberFormat="1" applyFill="1" applyAlignment="1">
      <alignment horizontal="right"/>
    </xf>
    <xf numFmtId="3" fontId="6" fillId="3" borderId="0" xfId="0" applyNumberFormat="1" applyFont="1" applyFill="1" applyAlignment="1">
      <alignment horizontal="right"/>
    </xf>
    <xf numFmtId="43" fontId="0" fillId="0" borderId="0" xfId="0" applyNumberFormat="1"/>
    <xf numFmtId="10" fontId="0" fillId="3" borderId="0" xfId="0" applyNumberFormat="1" applyFill="1"/>
    <xf numFmtId="167" fontId="0" fillId="3" borderId="0" xfId="0" applyNumberFormat="1" applyFill="1"/>
    <xf numFmtId="165" fontId="7" fillId="3" borderId="0" xfId="1" applyNumberFormat="1" applyFont="1" applyFill="1" applyBorder="1" applyAlignment="1"/>
    <xf numFmtId="3" fontId="7" fillId="2" borderId="0" xfId="0" applyNumberFormat="1" applyFont="1" applyFill="1"/>
    <xf numFmtId="3" fontId="7" fillId="6" borderId="0" xfId="0" applyNumberFormat="1" applyFont="1" applyFill="1"/>
    <xf numFmtId="9" fontId="7" fillId="0" borderId="0" xfId="0" applyNumberFormat="1" applyFont="1"/>
    <xf numFmtId="9" fontId="7" fillId="2" borderId="0" xfId="0" applyNumberFormat="1" applyFont="1" applyFill="1"/>
    <xf numFmtId="169" fontId="7" fillId="3" borderId="0" xfId="1" applyNumberFormat="1" applyFont="1" applyFill="1" applyBorder="1" applyAlignment="1">
      <alignment horizontal="right"/>
    </xf>
    <xf numFmtId="3" fontId="7" fillId="2" borderId="0" xfId="0" applyNumberFormat="1" applyFont="1" applyFill="1" applyAlignment="1">
      <alignment horizontal="right"/>
    </xf>
    <xf numFmtId="3" fontId="7" fillId="6" borderId="0" xfId="0" applyNumberFormat="1" applyFont="1" applyFill="1" applyAlignment="1">
      <alignment horizontal="right"/>
    </xf>
    <xf numFmtId="165" fontId="7" fillId="3" borderId="0" xfId="1" applyNumberFormat="1" applyFont="1" applyFill="1" applyBorder="1" applyAlignment="1">
      <alignment horizontal="right"/>
    </xf>
    <xf numFmtId="9" fontId="7" fillId="6" borderId="0" xfId="0" applyNumberFormat="1" applyFont="1" applyFill="1" applyAlignment="1">
      <alignment horizontal="right"/>
    </xf>
    <xf numFmtId="9" fontId="7" fillId="0" borderId="0" xfId="0" applyNumberFormat="1" applyFont="1" applyAlignment="1">
      <alignment horizontal="right"/>
    </xf>
    <xf numFmtId="3" fontId="0" fillId="2" borderId="0" xfId="0" applyNumberFormat="1" applyFill="1" applyAlignment="1">
      <alignment horizontal="right"/>
    </xf>
    <xf numFmtId="3" fontId="27" fillId="12" borderId="0" xfId="0" applyNumberFormat="1" applyFont="1" applyFill="1" applyAlignment="1">
      <alignment horizontal="right" vertical="top"/>
    </xf>
    <xf numFmtId="0" fontId="0" fillId="11" borderId="9" xfId="0" applyFill="1" applyBorder="1"/>
    <xf numFmtId="0" fontId="0" fillId="11" borderId="11" xfId="0" applyFill="1" applyBorder="1"/>
    <xf numFmtId="0" fontId="0" fillId="11" borderId="5" xfId="0" applyFill="1" applyBorder="1"/>
    <xf numFmtId="0" fontId="0" fillId="11" borderId="6" xfId="0" applyFill="1" applyBorder="1"/>
    <xf numFmtId="2" fontId="0" fillId="11" borderId="5" xfId="0" applyNumberFormat="1" applyFill="1" applyBorder="1"/>
    <xf numFmtId="2" fontId="0" fillId="11" borderId="6" xfId="0" applyNumberFormat="1" applyFill="1" applyBorder="1"/>
    <xf numFmtId="2" fontId="18" fillId="11" borderId="5" xfId="0" applyNumberFormat="1" applyFont="1" applyFill="1" applyBorder="1"/>
    <xf numFmtId="171" fontId="0" fillId="11" borderId="5" xfId="0" applyNumberFormat="1" applyFill="1" applyBorder="1"/>
    <xf numFmtId="171" fontId="0" fillId="11" borderId="6" xfId="0" applyNumberFormat="1" applyFill="1" applyBorder="1"/>
    <xf numFmtId="2" fontId="0" fillId="11" borderId="7" xfId="0" applyNumberFormat="1" applyFill="1" applyBorder="1"/>
    <xf numFmtId="2" fontId="0" fillId="11" borderId="8" xfId="0" applyNumberFormat="1" applyFill="1" applyBorder="1"/>
    <xf numFmtId="8" fontId="0" fillId="11" borderId="5" xfId="0" applyNumberFormat="1" applyFill="1" applyBorder="1"/>
    <xf numFmtId="0" fontId="0" fillId="11" borderId="4" xfId="0" applyFill="1" applyBorder="1"/>
    <xf numFmtId="0" fontId="0" fillId="11" borderId="2" xfId="0" applyFill="1" applyBorder="1"/>
    <xf numFmtId="167" fontId="0" fillId="0" borderId="5" xfId="0" applyNumberFormat="1" applyBorder="1" applyAlignment="1">
      <alignment horizontal="center"/>
    </xf>
    <xf numFmtId="170" fontId="2" fillId="0" borderId="7" xfId="0" applyNumberFormat="1" applyFont="1" applyBorder="1" applyAlignment="1">
      <alignment horizontal="center"/>
    </xf>
    <xf numFmtId="170" fontId="2" fillId="0" borderId="8" xfId="0" applyNumberFormat="1" applyFont="1" applyBorder="1" applyAlignment="1">
      <alignment horizontal="center"/>
    </xf>
    <xf numFmtId="0" fontId="29" fillId="11" borderId="0" xfId="5" applyFont="1" applyFill="1" applyAlignment="1">
      <alignment vertical="center"/>
    </xf>
    <xf numFmtId="0" fontId="28" fillId="11" borderId="0" xfId="5" applyFont="1" applyFill="1" applyAlignment="1">
      <alignment vertical="center"/>
    </xf>
    <xf numFmtId="0" fontId="30" fillId="11" borderId="0" xfId="5" applyFont="1" applyFill="1" applyAlignment="1">
      <alignment vertical="center"/>
    </xf>
    <xf numFmtId="0" fontId="1" fillId="11" borderId="0" xfId="5" applyFill="1" applyAlignment="1">
      <alignment vertical="center"/>
    </xf>
    <xf numFmtId="0" fontId="31" fillId="11" borderId="0" xfId="5" applyFont="1" applyFill="1" applyAlignment="1">
      <alignment vertical="center"/>
    </xf>
    <xf numFmtId="0" fontId="2" fillId="7" borderId="13" xfId="0" applyFont="1" applyFill="1" applyBorder="1" applyAlignment="1">
      <alignment horizontal="center" vertical="center" wrapText="1"/>
    </xf>
    <xf numFmtId="170" fontId="2" fillId="4" borderId="13" xfId="0" applyNumberFormat="1" applyFont="1" applyFill="1" applyBorder="1"/>
    <xf numFmtId="0" fontId="2" fillId="4" borderId="13" xfId="0" applyFont="1" applyFill="1" applyBorder="1" applyAlignment="1">
      <alignment horizontal="center" vertical="center"/>
    </xf>
    <xf numFmtId="0" fontId="2" fillId="0" borderId="13" xfId="0" applyFont="1" applyBorder="1" applyAlignment="1">
      <alignment horizontal="center" wrapText="1"/>
    </xf>
    <xf numFmtId="167" fontId="0" fillId="9" borderId="13" xfId="4" applyNumberFormat="1" applyFont="1" applyFill="1" applyBorder="1" applyAlignment="1">
      <alignment horizontal="center"/>
    </xf>
    <xf numFmtId="0" fontId="0" fillId="0" borderId="13" xfId="0" applyBorder="1" applyAlignment="1">
      <alignment horizontal="center" vertical="center" wrapText="1"/>
    </xf>
    <xf numFmtId="9" fontId="0" fillId="0" borderId="13" xfId="4" applyFont="1" applyFill="1" applyBorder="1" applyAlignment="1">
      <alignment horizontal="center"/>
    </xf>
    <xf numFmtId="9" fontId="0" fillId="0" borderId="13" xfId="4" applyFont="1" applyBorder="1" applyAlignment="1">
      <alignment horizontal="center"/>
    </xf>
    <xf numFmtId="49" fontId="0" fillId="0" borderId="6" xfId="0" applyNumberFormat="1" applyBorder="1" applyAlignment="1">
      <alignment horizontal="center" vertical="center" wrapText="1"/>
    </xf>
    <xf numFmtId="9" fontId="7" fillId="9" borderId="7" xfId="0" applyNumberFormat="1" applyFont="1" applyFill="1" applyBorder="1" applyAlignment="1">
      <alignment horizontal="center"/>
    </xf>
    <xf numFmtId="9" fontId="7" fillId="9" borderId="1" xfId="0" applyNumberFormat="1" applyFont="1" applyFill="1" applyBorder="1" applyAlignment="1">
      <alignment horizontal="center"/>
    </xf>
    <xf numFmtId="167" fontId="8" fillId="9" borderId="13" xfId="4" applyNumberFormat="1" applyFont="1" applyFill="1" applyBorder="1" applyAlignment="1">
      <alignment horizontal="center"/>
    </xf>
    <xf numFmtId="167" fontId="0" fillId="9" borderId="13" xfId="4" applyNumberFormat="1" applyFont="1" applyFill="1" applyBorder="1" applyAlignment="1">
      <alignment horizontal="center" vertical="center"/>
    </xf>
    <xf numFmtId="167" fontId="0" fillId="9" borderId="14" xfId="4" applyNumberFormat="1" applyFont="1" applyFill="1" applyBorder="1" applyAlignment="1">
      <alignment horizontal="center" vertical="center"/>
    </xf>
    <xf numFmtId="3" fontId="7" fillId="0" borderId="0" xfId="0" applyNumberFormat="1" applyFont="1"/>
    <xf numFmtId="3" fontId="7" fillId="3" borderId="0" xfId="0" applyNumberFormat="1" applyFont="1" applyFill="1"/>
    <xf numFmtId="2" fontId="0" fillId="3" borderId="0" xfId="0" applyNumberFormat="1" applyFill="1" applyAlignment="1">
      <alignment horizontal="center"/>
    </xf>
    <xf numFmtId="1" fontId="0" fillId="19" borderId="2" xfId="0" applyNumberFormat="1" applyFill="1" applyBorder="1" applyAlignment="1">
      <alignment horizontal="center"/>
    </xf>
    <xf numFmtId="1" fontId="0" fillId="19" borderId="3" xfId="0" applyNumberFormat="1" applyFill="1" applyBorder="1" applyAlignment="1">
      <alignment horizontal="center"/>
    </xf>
    <xf numFmtId="1" fontId="0" fillId="19" borderId="4" xfId="0" applyNumberFormat="1" applyFill="1" applyBorder="1" applyAlignment="1">
      <alignment horizontal="center"/>
    </xf>
    <xf numFmtId="167" fontId="0" fillId="19" borderId="3" xfId="0" applyNumberFormat="1" applyFill="1" applyBorder="1" applyAlignment="1">
      <alignment horizontal="center"/>
    </xf>
    <xf numFmtId="167" fontId="0" fillId="19" borderId="4" xfId="0" applyNumberFormat="1" applyFill="1" applyBorder="1" applyAlignment="1">
      <alignment horizontal="center"/>
    </xf>
    <xf numFmtId="0" fontId="24" fillId="19" borderId="5" xfId="0" applyFont="1" applyFill="1" applyBorder="1"/>
    <xf numFmtId="1" fontId="0" fillId="19" borderId="5" xfId="0" applyNumberFormat="1" applyFill="1" applyBorder="1" applyAlignment="1">
      <alignment horizontal="center"/>
    </xf>
    <xf numFmtId="1" fontId="0" fillId="19" borderId="0" xfId="0" applyNumberFormat="1" applyFill="1" applyAlignment="1">
      <alignment horizontal="center"/>
    </xf>
    <xf numFmtId="1" fontId="0" fillId="19" borderId="6" xfId="0" applyNumberFormat="1" applyFill="1" applyBorder="1" applyAlignment="1">
      <alignment horizontal="center"/>
    </xf>
    <xf numFmtId="167" fontId="0" fillId="19" borderId="0" xfId="0" applyNumberFormat="1" applyFill="1" applyAlignment="1">
      <alignment horizontal="center"/>
    </xf>
    <xf numFmtId="167" fontId="0" fillId="19" borderId="6" xfId="0" applyNumberFormat="1" applyFill="1" applyBorder="1" applyAlignment="1">
      <alignment horizontal="center"/>
    </xf>
    <xf numFmtId="0" fontId="0" fillId="0" borderId="5" xfId="0" applyBorder="1" applyAlignment="1">
      <alignment horizontal="left"/>
    </xf>
    <xf numFmtId="0" fontId="0" fillId="0" borderId="7" xfId="0" applyBorder="1" applyAlignment="1">
      <alignment horizontal="left"/>
    </xf>
    <xf numFmtId="3" fontId="4" fillId="0" borderId="0" xfId="2" applyNumberFormat="1"/>
    <xf numFmtId="0" fontId="21" fillId="7" borderId="0" xfId="0" applyFont="1" applyFill="1" applyAlignment="1">
      <alignment wrapText="1"/>
    </xf>
    <xf numFmtId="169" fontId="7" fillId="0" borderId="0" xfId="3" applyNumberFormat="1" applyFont="1" applyFill="1" applyAlignment="1">
      <alignment horizontal="right"/>
    </xf>
    <xf numFmtId="168" fontId="2" fillId="7" borderId="13" xfId="0" applyNumberFormat="1" applyFont="1" applyFill="1" applyBorder="1" applyAlignment="1">
      <alignment horizontal="center" wrapText="1"/>
    </xf>
    <xf numFmtId="9" fontId="7" fillId="3" borderId="24" xfId="0" applyNumberFormat="1" applyFont="1" applyFill="1" applyBorder="1" applyAlignment="1">
      <alignment horizontal="center" vertical="center"/>
    </xf>
    <xf numFmtId="9" fontId="7" fillId="3" borderId="13" xfId="0" applyNumberFormat="1" applyFont="1" applyFill="1" applyBorder="1" applyAlignment="1">
      <alignment horizontal="center"/>
    </xf>
    <xf numFmtId="167" fontId="7" fillId="3" borderId="13" xfId="0" applyNumberFormat="1" applyFont="1" applyFill="1" applyBorder="1" applyAlignment="1">
      <alignment horizontal="center"/>
    </xf>
    <xf numFmtId="0" fontId="7" fillId="3" borderId="8" xfId="0" applyFont="1" applyFill="1" applyBorder="1" applyAlignment="1">
      <alignment horizontal="center"/>
    </xf>
    <xf numFmtId="0" fontId="13" fillId="0" borderId="0" xfId="0" applyFont="1"/>
    <xf numFmtId="0" fontId="13" fillId="7" borderId="10" xfId="0" applyFont="1" applyFill="1" applyBorder="1" applyAlignment="1">
      <alignment vertical="center" wrapText="1"/>
    </xf>
    <xf numFmtId="0" fontId="7" fillId="4" borderId="7" xfId="0" applyFont="1" applyFill="1" applyBorder="1" applyAlignment="1">
      <alignment wrapText="1"/>
    </xf>
    <xf numFmtId="0" fontId="7" fillId="4" borderId="1" xfId="0" applyFont="1" applyFill="1" applyBorder="1" applyAlignment="1">
      <alignment wrapText="1"/>
    </xf>
    <xf numFmtId="167" fontId="0" fillId="9" borderId="1" xfId="0" applyNumberFormat="1" applyFill="1" applyBorder="1" applyAlignment="1">
      <alignment horizontal="center"/>
    </xf>
    <xf numFmtId="0" fontId="7" fillId="3" borderId="0" xfId="0" applyFont="1" applyFill="1"/>
    <xf numFmtId="0" fontId="7" fillId="9" borderId="0" xfId="0" applyFont="1" applyFill="1"/>
    <xf numFmtId="0" fontId="7" fillId="10" borderId="9" xfId="0" applyFont="1" applyFill="1" applyBorder="1" applyAlignment="1">
      <alignment horizontal="center" vertical="center"/>
    </xf>
    <xf numFmtId="0" fontId="7" fillId="10" borderId="10" xfId="0" applyFont="1" applyFill="1" applyBorder="1" applyAlignment="1">
      <alignment horizontal="center" vertical="center"/>
    </xf>
    <xf numFmtId="0" fontId="7" fillId="10" borderId="11" xfId="0" applyFont="1" applyFill="1" applyBorder="1" applyAlignment="1">
      <alignment horizontal="center" vertical="center"/>
    </xf>
    <xf numFmtId="167" fontId="7" fillId="0" borderId="2" xfId="0" applyNumberFormat="1" applyFont="1" applyBorder="1" applyAlignment="1">
      <alignment horizontal="center"/>
    </xf>
    <xf numFmtId="167" fontId="7" fillId="0" borderId="3" xfId="0" applyNumberFormat="1" applyFont="1" applyBorder="1" applyAlignment="1">
      <alignment horizontal="center"/>
    </xf>
    <xf numFmtId="167" fontId="7" fillId="0" borderId="4" xfId="0" applyNumberFormat="1" applyFont="1" applyBorder="1" applyAlignment="1">
      <alignment horizontal="center"/>
    </xf>
    <xf numFmtId="167" fontId="7" fillId="0" borderId="7" xfId="0" applyNumberFormat="1" applyFont="1" applyBorder="1" applyAlignment="1">
      <alignment horizontal="center"/>
    </xf>
    <xf numFmtId="167" fontId="7" fillId="0" borderId="1" xfId="0" applyNumberFormat="1" applyFont="1" applyBorder="1" applyAlignment="1">
      <alignment horizontal="center"/>
    </xf>
    <xf numFmtId="167" fontId="7" fillId="0" borderId="8" xfId="0" applyNumberFormat="1" applyFont="1" applyBorder="1" applyAlignment="1">
      <alignment horizontal="center"/>
    </xf>
    <xf numFmtId="0" fontId="2" fillId="9" borderId="0" xfId="0" applyFont="1" applyFill="1" applyAlignment="1">
      <alignment vertical="center"/>
    </xf>
    <xf numFmtId="0" fontId="0" fillId="9" borderId="0" xfId="0" applyFill="1" applyAlignment="1">
      <alignment vertical="center"/>
    </xf>
    <xf numFmtId="168" fontId="0" fillId="0" borderId="0" xfId="0" applyNumberFormat="1" applyAlignment="1">
      <alignment horizontal="center"/>
    </xf>
    <xf numFmtId="166" fontId="0" fillId="9" borderId="0" xfId="0" applyNumberFormat="1" applyFill="1" applyAlignment="1">
      <alignment horizontal="center"/>
    </xf>
    <xf numFmtId="0" fontId="19" fillId="11" borderId="2" xfId="0" applyFont="1" applyFill="1" applyBorder="1" applyAlignment="1">
      <alignment vertical="center" wrapText="1"/>
    </xf>
    <xf numFmtId="0" fontId="0" fillId="11" borderId="3" xfId="0" applyFill="1" applyBorder="1"/>
    <xf numFmtId="168" fontId="0" fillId="3" borderId="6" xfId="0" applyNumberFormat="1" applyFill="1" applyBorder="1"/>
    <xf numFmtId="168" fontId="0" fillId="9" borderId="6" xfId="0" applyNumberFormat="1" applyFill="1" applyBorder="1"/>
    <xf numFmtId="0" fontId="0" fillId="11" borderId="7" xfId="0" applyFill="1" applyBorder="1"/>
    <xf numFmtId="168" fontId="0" fillId="3" borderId="8" xfId="0" applyNumberFormat="1" applyFill="1" applyBorder="1"/>
    <xf numFmtId="0" fontId="0" fillId="11" borderId="1" xfId="0" applyFill="1" applyBorder="1" applyAlignment="1">
      <alignment wrapText="1"/>
    </xf>
    <xf numFmtId="0" fontId="0" fillId="11" borderId="8" xfId="0" applyFill="1" applyBorder="1" applyAlignment="1">
      <alignment wrapText="1"/>
    </xf>
    <xf numFmtId="168" fontId="0" fillId="3" borderId="5" xfId="0" applyNumberFormat="1" applyFill="1" applyBorder="1"/>
    <xf numFmtId="168" fontId="0" fillId="9" borderId="5" xfId="0" applyNumberFormat="1" applyFill="1" applyBorder="1"/>
    <xf numFmtId="168" fontId="0" fillId="3" borderId="7" xfId="0" applyNumberFormat="1" applyFill="1" applyBorder="1"/>
    <xf numFmtId="168" fontId="0" fillId="3" borderId="0" xfId="0" applyNumberFormat="1" applyFill="1"/>
    <xf numFmtId="168" fontId="0" fillId="3" borderId="2" xfId="0" applyNumberFormat="1" applyFill="1" applyBorder="1"/>
    <xf numFmtId="168" fontId="0" fillId="3" borderId="3" xfId="0" applyNumberFormat="1" applyFill="1" applyBorder="1"/>
    <xf numFmtId="168" fontId="0" fillId="9" borderId="3" xfId="0" applyNumberFormat="1" applyFill="1" applyBorder="1"/>
    <xf numFmtId="168" fontId="0" fillId="9" borderId="4" xfId="0" applyNumberFormat="1" applyFill="1" applyBorder="1"/>
    <xf numFmtId="168" fontId="0" fillId="3" borderId="1" xfId="0" applyNumberFormat="1" applyFill="1" applyBorder="1"/>
    <xf numFmtId="168" fontId="0" fillId="9" borderId="1" xfId="0" applyNumberFormat="1" applyFill="1" applyBorder="1"/>
    <xf numFmtId="166" fontId="0" fillId="11" borderId="0" xfId="0" applyNumberFormat="1" applyFill="1"/>
    <xf numFmtId="0" fontId="6" fillId="11" borderId="5" xfId="0" applyFont="1" applyFill="1" applyBorder="1" applyAlignment="1">
      <alignment vertical="center" wrapText="1"/>
    </xf>
    <xf numFmtId="0" fontId="6" fillId="11" borderId="5" xfId="0" applyFont="1" applyFill="1" applyBorder="1" applyAlignment="1">
      <alignment horizontal="right" vertical="center" wrapText="1"/>
    </xf>
    <xf numFmtId="0" fontId="6" fillId="11" borderId="7" xfId="0" applyFont="1" applyFill="1" applyBorder="1" applyAlignment="1">
      <alignment horizontal="right" vertical="center" wrapText="1"/>
    </xf>
    <xf numFmtId="166" fontId="2" fillId="11" borderId="0" xfId="0" applyNumberFormat="1" applyFont="1" applyFill="1" applyAlignment="1">
      <alignment wrapText="1"/>
    </xf>
    <xf numFmtId="166" fontId="2" fillId="11" borderId="6" xfId="0" applyNumberFormat="1" applyFont="1" applyFill="1" applyBorder="1" applyAlignment="1">
      <alignment wrapText="1"/>
    </xf>
    <xf numFmtId="166" fontId="2" fillId="11" borderId="3" xfId="0" applyNumberFormat="1" applyFont="1" applyFill="1" applyBorder="1"/>
    <xf numFmtId="0" fontId="2" fillId="11" borderId="3" xfId="0" applyFont="1" applyFill="1" applyBorder="1"/>
    <xf numFmtId="0" fontId="2" fillId="11" borderId="4" xfId="0" applyFont="1" applyFill="1" applyBorder="1"/>
    <xf numFmtId="168" fontId="2" fillId="9" borderId="8" xfId="0" applyNumberFormat="1" applyFont="1" applyFill="1" applyBorder="1"/>
    <xf numFmtId="166" fontId="0" fillId="3" borderId="1" xfId="0" applyNumberFormat="1" applyFill="1" applyBorder="1"/>
    <xf numFmtId="0" fontId="0" fillId="3" borderId="1" xfId="0" applyFill="1" applyBorder="1"/>
    <xf numFmtId="166" fontId="0" fillId="3" borderId="7" xfId="0" applyNumberFormat="1" applyFill="1" applyBorder="1"/>
    <xf numFmtId="0" fontId="19" fillId="11" borderId="5" xfId="0" applyFont="1" applyFill="1" applyBorder="1" applyAlignment="1">
      <alignment horizontal="right" vertical="center" wrapText="1"/>
    </xf>
    <xf numFmtId="3" fontId="13" fillId="8" borderId="3" xfId="0" applyNumberFormat="1" applyFont="1" applyFill="1" applyBorder="1" applyAlignment="1">
      <alignment horizontal="center"/>
    </xf>
    <xf numFmtId="0" fontId="7" fillId="10" borderId="2" xfId="0" applyFont="1" applyFill="1" applyBorder="1" applyAlignment="1">
      <alignment vertical="center" wrapText="1"/>
    </xf>
    <xf numFmtId="0" fontId="13" fillId="11" borderId="24" xfId="0" applyFont="1" applyFill="1" applyBorder="1" applyAlignment="1">
      <alignment vertical="center" wrapText="1"/>
    </xf>
    <xf numFmtId="0" fontId="2" fillId="7" borderId="6" xfId="0" applyFont="1" applyFill="1" applyBorder="1" applyAlignment="1">
      <alignment horizontal="center" vertical="center" wrapText="1"/>
    </xf>
    <xf numFmtId="0" fontId="7" fillId="9" borderId="0" xfId="0" applyFont="1" applyFill="1" applyAlignment="1">
      <alignment vertical="center" wrapText="1"/>
    </xf>
    <xf numFmtId="0" fontId="7" fillId="11" borderId="2" xfId="0" applyFont="1" applyFill="1" applyBorder="1" applyAlignment="1">
      <alignment vertical="center" wrapText="1"/>
    </xf>
    <xf numFmtId="168" fontId="0" fillId="9" borderId="2" xfId="0" applyNumberFormat="1" applyFill="1" applyBorder="1"/>
    <xf numFmtId="168" fontId="0" fillId="9" borderId="7" xfId="0" applyNumberFormat="1" applyFill="1" applyBorder="1"/>
    <xf numFmtId="0" fontId="0" fillId="9" borderId="7" xfId="0" applyFill="1" applyBorder="1"/>
    <xf numFmtId="166" fontId="2" fillId="11" borderId="0" xfId="0" applyNumberFormat="1" applyFont="1" applyFill="1" applyAlignment="1">
      <alignment vertical="center" wrapText="1"/>
    </xf>
    <xf numFmtId="0" fontId="7" fillId="11" borderId="12" xfId="0" applyFont="1" applyFill="1" applyBorder="1" applyAlignment="1">
      <alignment vertical="center" wrapText="1"/>
    </xf>
    <xf numFmtId="0" fontId="7" fillId="11" borderId="14" xfId="0" applyFont="1" applyFill="1" applyBorder="1" applyAlignment="1">
      <alignment vertical="center" wrapText="1"/>
    </xf>
    <xf numFmtId="0" fontId="7" fillId="4" borderId="0" xfId="0" applyFont="1" applyFill="1"/>
    <xf numFmtId="0" fontId="0" fillId="4" borderId="12" xfId="0" applyFill="1" applyBorder="1"/>
    <xf numFmtId="0" fontId="0" fillId="0" borderId="13" xfId="0" quotePrefix="1" applyBorder="1" applyAlignment="1">
      <alignment horizontal="center"/>
    </xf>
    <xf numFmtId="0" fontId="2" fillId="0" borderId="13" xfId="0" quotePrefix="1" applyFont="1" applyBorder="1" applyAlignment="1">
      <alignment horizontal="center"/>
    </xf>
    <xf numFmtId="169" fontId="0" fillId="0" borderId="5" xfId="3" applyNumberFormat="1" applyFont="1" applyFill="1" applyBorder="1" applyAlignment="1">
      <alignment horizontal="center" vertical="center"/>
    </xf>
    <xf numFmtId="169" fontId="0" fillId="0" borderId="0" xfId="3" applyNumberFormat="1" applyFont="1" applyFill="1" applyBorder="1" applyAlignment="1">
      <alignment horizontal="center" vertical="center"/>
    </xf>
    <xf numFmtId="0" fontId="0" fillId="9" borderId="5" xfId="0" applyFill="1" applyBorder="1" applyAlignment="1">
      <alignment horizontal="center" vertical="center"/>
    </xf>
    <xf numFmtId="175" fontId="0" fillId="9" borderId="5" xfId="0" applyNumberFormat="1" applyFill="1" applyBorder="1" applyAlignment="1">
      <alignment horizontal="center" vertical="center"/>
    </xf>
    <xf numFmtId="175" fontId="0" fillId="9" borderId="7" xfId="0" applyNumberFormat="1" applyFill="1" applyBorder="1" applyAlignment="1">
      <alignment horizontal="center" vertical="center"/>
    </xf>
    <xf numFmtId="175" fontId="0" fillId="9" borderId="14" xfId="0" applyNumberFormat="1" applyFill="1" applyBorder="1" applyAlignment="1">
      <alignment horizontal="center" vertical="center"/>
    </xf>
    <xf numFmtId="0" fontId="24" fillId="19" borderId="2" xfId="0" applyFont="1" applyFill="1" applyBorder="1" applyAlignment="1">
      <alignment vertical="top"/>
    </xf>
    <xf numFmtId="0" fontId="32" fillId="0" borderId="0" xfId="0" applyFont="1"/>
    <xf numFmtId="0" fontId="24" fillId="19" borderId="5" xfId="0" applyFont="1" applyFill="1" applyBorder="1" applyAlignment="1">
      <alignment vertical="top"/>
    </xf>
    <xf numFmtId="0" fontId="24" fillId="19" borderId="13" xfId="0" applyFont="1" applyFill="1" applyBorder="1" applyAlignment="1">
      <alignment vertical="top"/>
    </xf>
    <xf numFmtId="0" fontId="24" fillId="19" borderId="0" xfId="0" applyFont="1" applyFill="1" applyAlignment="1">
      <alignment vertical="top"/>
    </xf>
    <xf numFmtId="0" fontId="2" fillId="0" borderId="1" xfId="0" applyFont="1" applyBorder="1"/>
    <xf numFmtId="0" fontId="2" fillId="7" borderId="7" xfId="0" applyFont="1" applyFill="1" applyBorder="1" applyAlignment="1">
      <alignment horizontal="center"/>
    </xf>
    <xf numFmtId="0" fontId="2" fillId="7" borderId="1" xfId="0" applyFont="1" applyFill="1" applyBorder="1" applyAlignment="1">
      <alignment horizontal="center"/>
    </xf>
    <xf numFmtId="0" fontId="2" fillId="7" borderId="8" xfId="0" applyFont="1" applyFill="1" applyBorder="1" applyAlignment="1">
      <alignment horizontal="center"/>
    </xf>
    <xf numFmtId="0" fontId="2" fillId="0" borderId="5" xfId="0" applyFont="1" applyBorder="1"/>
    <xf numFmtId="0" fontId="2" fillId="0" borderId="14" xfId="0" applyFont="1" applyBorder="1"/>
    <xf numFmtId="167" fontId="2" fillId="0" borderId="5" xfId="0" applyNumberFormat="1" applyFont="1" applyBorder="1" applyAlignment="1">
      <alignment horizontal="center"/>
    </xf>
    <xf numFmtId="167" fontId="2" fillId="0" borderId="0" xfId="0" applyNumberFormat="1" applyFont="1" applyAlignment="1">
      <alignment horizontal="center"/>
    </xf>
    <xf numFmtId="170" fontId="12" fillId="0" borderId="0" xfId="4" applyNumberFormat="1" applyFont="1" applyBorder="1" applyAlignment="1">
      <alignment vertical="center"/>
    </xf>
    <xf numFmtId="164" fontId="0" fillId="9" borderId="13" xfId="3" applyFont="1" applyFill="1" applyBorder="1" applyAlignment="1">
      <alignment horizontal="center" vertical="center"/>
    </xf>
    <xf numFmtId="170" fontId="0" fillId="0" borderId="6" xfId="0" applyNumberFormat="1" applyBorder="1"/>
    <xf numFmtId="170" fontId="0" fillId="9" borderId="14" xfId="0" applyNumberFormat="1" applyFill="1" applyBorder="1" applyAlignment="1">
      <alignment horizontal="center" vertical="center"/>
    </xf>
    <xf numFmtId="0" fontId="24" fillId="19" borderId="5" xfId="0" applyFont="1" applyFill="1" applyBorder="1" applyAlignment="1">
      <alignment vertical="top" wrapText="1"/>
    </xf>
    <xf numFmtId="0" fontId="30" fillId="11" borderId="0" xfId="5" applyFont="1" applyFill="1" applyAlignment="1">
      <alignment vertical="top" wrapText="1"/>
    </xf>
    <xf numFmtId="0" fontId="26" fillId="11" borderId="0" xfId="5" applyFont="1" applyFill="1" applyAlignment="1">
      <alignment vertical="top"/>
    </xf>
    <xf numFmtId="0" fontId="30" fillId="11" borderId="0" xfId="5" applyFont="1" applyFill="1" applyAlignment="1">
      <alignment vertical="center" wrapText="1"/>
    </xf>
    <xf numFmtId="0" fontId="0" fillId="20" borderId="0" xfId="0" applyFill="1" applyAlignment="1">
      <alignment wrapText="1"/>
    </xf>
    <xf numFmtId="170" fontId="2" fillId="7" borderId="5" xfId="0" applyNumberFormat="1" applyFont="1" applyFill="1" applyBorder="1" applyAlignment="1">
      <alignment horizontal="center" vertical="center" wrapText="1"/>
    </xf>
    <xf numFmtId="170" fontId="2" fillId="7" borderId="0" xfId="0" applyNumberFormat="1" applyFont="1" applyFill="1" applyAlignment="1">
      <alignment horizontal="center" vertical="center" wrapText="1"/>
    </xf>
    <xf numFmtId="170" fontId="2" fillId="7" borderId="6" xfId="0" applyNumberFormat="1" applyFont="1" applyFill="1" applyBorder="1" applyAlignment="1">
      <alignment horizontal="center" vertical="center" wrapText="1"/>
    </xf>
    <xf numFmtId="9" fontId="2" fillId="7" borderId="5" xfId="0" applyNumberFormat="1" applyFont="1" applyFill="1" applyBorder="1" applyAlignment="1">
      <alignment horizontal="center" vertical="center" wrapText="1"/>
    </xf>
    <xf numFmtId="9" fontId="2" fillId="7" borderId="0" xfId="0" applyNumberFormat="1" applyFont="1" applyFill="1" applyAlignment="1">
      <alignment horizontal="center" vertical="center" wrapText="1"/>
    </xf>
    <xf numFmtId="9" fontId="2" fillId="7" borderId="6" xfId="0" applyNumberFormat="1" applyFont="1" applyFill="1" applyBorder="1" applyAlignment="1">
      <alignment horizontal="center" vertical="center" wrapText="1"/>
    </xf>
    <xf numFmtId="0" fontId="2" fillId="7" borderId="5" xfId="0" applyFont="1" applyFill="1" applyBorder="1" applyAlignment="1">
      <alignment horizontal="center" vertical="center"/>
    </xf>
    <xf numFmtId="0" fontId="2" fillId="7" borderId="0" xfId="0" applyFont="1" applyFill="1" applyAlignment="1">
      <alignment horizontal="center" vertical="center"/>
    </xf>
    <xf numFmtId="0" fontId="2" fillId="7" borderId="6" xfId="0" applyFont="1" applyFill="1" applyBorder="1" applyAlignment="1">
      <alignment horizontal="center" vertical="center"/>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2" fillId="7" borderId="5" xfId="0" applyFont="1" applyFill="1" applyBorder="1" applyAlignment="1">
      <alignment horizontal="center" vertical="center" wrapText="1"/>
    </xf>
    <xf numFmtId="0" fontId="2" fillId="7" borderId="0" xfId="0" applyFont="1" applyFill="1" applyAlignment="1">
      <alignment horizontal="center" vertical="center" wrapText="1"/>
    </xf>
    <xf numFmtId="0" fontId="2" fillId="7" borderId="6" xfId="0" applyFont="1" applyFill="1" applyBorder="1" applyAlignment="1">
      <alignment horizontal="center" vertical="center" wrapText="1"/>
    </xf>
    <xf numFmtId="49" fontId="0" fillId="0" borderId="0" xfId="0" applyNumberFormat="1" applyAlignment="1">
      <alignment horizontal="center" vertical="center" wrapText="1"/>
    </xf>
    <xf numFmtId="0" fontId="2" fillId="7" borderId="2" xfId="0" applyFont="1" applyFill="1" applyBorder="1" applyAlignment="1">
      <alignment horizontal="center"/>
    </xf>
    <xf numFmtId="0" fontId="2" fillId="7" borderId="3" xfId="0" applyFont="1" applyFill="1" applyBorder="1" applyAlignment="1">
      <alignment horizontal="center"/>
    </xf>
    <xf numFmtId="0" fontId="2" fillId="7" borderId="4" xfId="0" applyFont="1" applyFill="1" applyBorder="1" applyAlignment="1">
      <alignment horizontal="center"/>
    </xf>
    <xf numFmtId="0" fontId="7" fillId="0" borderId="0" xfId="0" applyFont="1" applyAlignment="1">
      <alignment horizontal="left" wrapText="1"/>
    </xf>
    <xf numFmtId="0" fontId="0" fillId="9" borderId="0" xfId="0" applyFill="1" applyAlignment="1">
      <alignment horizontal="left" vertical="center" wrapText="1"/>
    </xf>
    <xf numFmtId="0" fontId="2" fillId="7" borderId="2"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0" fillId="9" borderId="0" xfId="0" applyFill="1" applyAlignment="1">
      <alignment vertical="center" wrapText="1"/>
    </xf>
    <xf numFmtId="0" fontId="7" fillId="9" borderId="0" xfId="0" applyFont="1" applyFill="1" applyAlignment="1">
      <alignment vertical="center" wrapText="1"/>
    </xf>
    <xf numFmtId="0" fontId="2" fillId="7" borderId="12" xfId="0" applyFont="1" applyFill="1" applyBorder="1" applyAlignment="1">
      <alignment horizontal="center" wrapText="1"/>
    </xf>
    <xf numFmtId="0" fontId="2" fillId="7" borderId="13" xfId="0" applyFont="1" applyFill="1" applyBorder="1" applyAlignment="1">
      <alignment horizontal="center" wrapText="1"/>
    </xf>
    <xf numFmtId="0" fontId="2" fillId="7" borderId="2"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4" xfId="0" applyFont="1" applyFill="1" applyBorder="1" applyAlignment="1">
      <alignment horizontal="center" vertical="center"/>
    </xf>
    <xf numFmtId="0" fontId="2" fillId="7" borderId="0" xfId="0" applyFont="1" applyFill="1" applyAlignment="1">
      <alignment horizontal="center"/>
    </xf>
    <xf numFmtId="0" fontId="2" fillId="17" borderId="0" xfId="0" applyFont="1" applyFill="1" applyAlignment="1">
      <alignment horizontal="center"/>
    </xf>
    <xf numFmtId="0" fontId="2" fillId="7" borderId="12" xfId="0" applyFont="1" applyFill="1" applyBorder="1" applyAlignment="1">
      <alignment wrapText="1"/>
    </xf>
    <xf numFmtId="0" fontId="2" fillId="7" borderId="13" xfId="0" applyFont="1" applyFill="1" applyBorder="1" applyAlignment="1">
      <alignment wrapText="1"/>
    </xf>
    <xf numFmtId="0" fontId="2" fillId="7" borderId="4" xfId="0" applyFont="1" applyFill="1" applyBorder="1" applyAlignment="1">
      <alignment horizontal="center" wrapText="1"/>
    </xf>
    <xf numFmtId="0" fontId="2" fillId="7" borderId="6" xfId="0" applyFont="1" applyFill="1" applyBorder="1" applyAlignment="1">
      <alignment horizontal="center" wrapText="1"/>
    </xf>
    <xf numFmtId="0" fontId="2" fillId="0" borderId="0" xfId="0" applyFont="1" applyAlignment="1">
      <alignment horizontal="center" wrapText="1"/>
    </xf>
    <xf numFmtId="0" fontId="2" fillId="0" borderId="0" xfId="0" applyFont="1" applyAlignment="1">
      <alignment wrapText="1"/>
    </xf>
  </cellXfs>
  <cellStyles count="6">
    <cellStyle name="Comma" xfId="3" builtinId="3"/>
    <cellStyle name="Comma 3" xfId="1" xr:uid="{00000000-0005-0000-0000-000001000000}"/>
    <cellStyle name="Hyperlink" xfId="2" builtinId="8"/>
    <cellStyle name="Normal" xfId="0" builtinId="0"/>
    <cellStyle name="Normal 2" xfId="5" xr:uid="{00000000-0005-0000-0000-000004000000}"/>
    <cellStyle name="Per cent" xfId="4" builtinId="5"/>
  </cellStyles>
  <dxfs count="0"/>
  <tableStyles count="0" defaultTableStyle="TableStyleMedium2" defaultPivotStyle="PivotStyleLight16"/>
  <colors>
    <mruColors>
      <color rgb="FF130B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Heating efficiency by</a:t>
            </a:r>
            <a:r>
              <a:rPr lang="en-GB" baseline="0"/>
              <a:t> flow temperature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'Reducing radiator temp'!$N$12</c:f>
              <c:strCache>
                <c:ptCount val="1"/>
                <c:pt idx="0">
                  <c:v>HHIC</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'Reducing radiator temp'!$K$13:$K$18</c:f>
              <c:numCache>
                <c:formatCode>General</c:formatCode>
                <c:ptCount val="6"/>
                <c:pt idx="1">
                  <c:v>80</c:v>
                </c:pt>
                <c:pt idx="2">
                  <c:v>75</c:v>
                </c:pt>
                <c:pt idx="3">
                  <c:v>60</c:v>
                </c:pt>
                <c:pt idx="4">
                  <c:v>57</c:v>
                </c:pt>
                <c:pt idx="5">
                  <c:v>55</c:v>
                </c:pt>
              </c:numCache>
            </c:numRef>
          </c:xVal>
          <c:yVal>
            <c:numRef>
              <c:f>'Reducing radiator temp'!$N$13:$N$18</c:f>
              <c:numCache>
                <c:formatCode>0.000</c:formatCode>
                <c:ptCount val="6"/>
                <c:pt idx="1">
                  <c:v>0.89</c:v>
                </c:pt>
                <c:pt idx="2">
                  <c:v>0.90159840425531912</c:v>
                </c:pt>
                <c:pt idx="3">
                  <c:v>0.9294345744680852</c:v>
                </c:pt>
                <c:pt idx="4">
                  <c:v>0.93639361702127666</c:v>
                </c:pt>
                <c:pt idx="5">
                  <c:v>0.9410329787234043</c:v>
                </c:pt>
              </c:numCache>
            </c:numRef>
          </c:yVal>
          <c:smooth val="1"/>
          <c:extLst>
            <c:ext xmlns:c16="http://schemas.microsoft.com/office/drawing/2014/chart" uri="{C3380CC4-5D6E-409C-BE32-E72D297353CC}">
              <c16:uniqueId val="{00000000-FA1D-EC49-B365-7FE28EE086F5}"/>
            </c:ext>
          </c:extLst>
        </c:ser>
        <c:ser>
          <c:idx val="1"/>
          <c:order val="1"/>
          <c:tx>
            <c:strRef>
              <c:f>'Reducing radiator temp'!$O$12</c:f>
              <c:strCache>
                <c:ptCount val="1"/>
                <c:pt idx="0">
                  <c:v>CIBSE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'Reducing radiator temp'!$K$13:$K$18</c:f>
              <c:numCache>
                <c:formatCode>General</c:formatCode>
                <c:ptCount val="6"/>
                <c:pt idx="1">
                  <c:v>80</c:v>
                </c:pt>
                <c:pt idx="2">
                  <c:v>75</c:v>
                </c:pt>
                <c:pt idx="3">
                  <c:v>60</c:v>
                </c:pt>
                <c:pt idx="4">
                  <c:v>57</c:v>
                </c:pt>
                <c:pt idx="5">
                  <c:v>55</c:v>
                </c:pt>
              </c:numCache>
            </c:numRef>
          </c:xVal>
          <c:yVal>
            <c:numRef>
              <c:f>'Reducing radiator temp'!$O$13:$O$18</c:f>
              <c:numCache>
                <c:formatCode>0.000</c:formatCode>
                <c:ptCount val="6"/>
                <c:pt idx="2">
                  <c:v>0.89</c:v>
                </c:pt>
                <c:pt idx="3">
                  <c:v>0.92</c:v>
                </c:pt>
                <c:pt idx="4">
                  <c:v>0.92600000000000005</c:v>
                </c:pt>
                <c:pt idx="5">
                  <c:v>0.93</c:v>
                </c:pt>
              </c:numCache>
            </c:numRef>
          </c:yVal>
          <c:smooth val="1"/>
          <c:extLst>
            <c:ext xmlns:c16="http://schemas.microsoft.com/office/drawing/2014/chart" uri="{C3380CC4-5D6E-409C-BE32-E72D297353CC}">
              <c16:uniqueId val="{00000001-FA1D-EC49-B365-7FE28EE086F5}"/>
            </c:ext>
          </c:extLst>
        </c:ser>
        <c:ser>
          <c:idx val="2"/>
          <c:order val="2"/>
          <c:tx>
            <c:strRef>
              <c:f>'Reducing radiator temp'!$P$12</c:f>
              <c:strCache>
                <c:ptCount val="1"/>
                <c:pt idx="0">
                  <c:v>Heat Geek</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'Reducing radiator temp'!$K$13:$K$18</c:f>
              <c:numCache>
                <c:formatCode>General</c:formatCode>
                <c:ptCount val="6"/>
                <c:pt idx="1">
                  <c:v>80</c:v>
                </c:pt>
                <c:pt idx="2">
                  <c:v>75</c:v>
                </c:pt>
                <c:pt idx="3">
                  <c:v>60</c:v>
                </c:pt>
                <c:pt idx="4">
                  <c:v>57</c:v>
                </c:pt>
                <c:pt idx="5">
                  <c:v>55</c:v>
                </c:pt>
              </c:numCache>
            </c:numRef>
          </c:xVal>
          <c:yVal>
            <c:numRef>
              <c:f>'Reducing radiator temp'!$P$13:$P$18</c:f>
              <c:numCache>
                <c:formatCode>0.000</c:formatCode>
                <c:ptCount val="6"/>
                <c:pt idx="2">
                  <c:v>0.87</c:v>
                </c:pt>
                <c:pt idx="3">
                  <c:v>0.92</c:v>
                </c:pt>
                <c:pt idx="4">
                  <c:v>0.92900000000000005</c:v>
                </c:pt>
                <c:pt idx="5">
                  <c:v>0.93500000000000005</c:v>
                </c:pt>
              </c:numCache>
            </c:numRef>
          </c:yVal>
          <c:smooth val="1"/>
          <c:extLst>
            <c:ext xmlns:c16="http://schemas.microsoft.com/office/drawing/2014/chart" uri="{C3380CC4-5D6E-409C-BE32-E72D297353CC}">
              <c16:uniqueId val="{00000002-FA1D-EC49-B365-7FE28EE086F5}"/>
            </c:ext>
          </c:extLst>
        </c:ser>
        <c:ser>
          <c:idx val="3"/>
          <c:order val="3"/>
          <c:tx>
            <c:strRef>
              <c:f>'Reducing radiator temp'!$Q$12</c:f>
              <c:strCache>
                <c:ptCount val="1"/>
                <c:pt idx="0">
                  <c:v>Salford</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'Reducing radiator temp'!$K$13:$K$18</c:f>
              <c:numCache>
                <c:formatCode>General</c:formatCode>
                <c:ptCount val="6"/>
                <c:pt idx="1">
                  <c:v>80</c:v>
                </c:pt>
                <c:pt idx="2">
                  <c:v>75</c:v>
                </c:pt>
                <c:pt idx="3">
                  <c:v>60</c:v>
                </c:pt>
                <c:pt idx="4">
                  <c:v>57</c:v>
                </c:pt>
                <c:pt idx="5">
                  <c:v>55</c:v>
                </c:pt>
              </c:numCache>
            </c:numRef>
          </c:xVal>
          <c:yVal>
            <c:numRef>
              <c:f>'Reducing radiator temp'!$Q$13:$Q$18</c:f>
              <c:numCache>
                <c:formatCode>General</c:formatCode>
                <c:ptCount val="6"/>
                <c:pt idx="2">
                  <c:v>0.83</c:v>
                </c:pt>
                <c:pt idx="3">
                  <c:v>0.88</c:v>
                </c:pt>
                <c:pt idx="4">
                  <c:v>0.88500000000000001</c:v>
                </c:pt>
                <c:pt idx="5">
                  <c:v>0.89</c:v>
                </c:pt>
              </c:numCache>
            </c:numRef>
          </c:yVal>
          <c:smooth val="1"/>
          <c:extLst>
            <c:ext xmlns:c16="http://schemas.microsoft.com/office/drawing/2014/chart" uri="{C3380CC4-5D6E-409C-BE32-E72D297353CC}">
              <c16:uniqueId val="{00000000-E91D-2941-B028-2B2289C823B3}"/>
            </c:ext>
          </c:extLst>
        </c:ser>
        <c:dLbls>
          <c:showLegendKey val="0"/>
          <c:showVal val="0"/>
          <c:showCatName val="0"/>
          <c:showSerName val="0"/>
          <c:showPercent val="0"/>
          <c:showBubbleSize val="0"/>
        </c:dLbls>
        <c:axId val="366759680"/>
        <c:axId val="366760064"/>
      </c:scatterChart>
      <c:valAx>
        <c:axId val="366759680"/>
        <c:scaling>
          <c:orientation val="minMax"/>
          <c:max val="80"/>
          <c:min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760064"/>
        <c:crosses val="autoZero"/>
        <c:crossBetween val="midCat"/>
      </c:valAx>
      <c:valAx>
        <c:axId val="36676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759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Code</a:t>
            </a:r>
            <a:r>
              <a:rPr lang="en-GB" baseline="0"/>
              <a:t> versus CHM results for gas homes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'Reduce heating hours'!$A$20</c:f>
              <c:strCache>
                <c:ptCount val="1"/>
                <c:pt idx="0">
                  <c:v>CODE</c:v>
                </c:pt>
              </c:strCache>
            </c:strRef>
          </c:tx>
          <c:spPr>
            <a:solidFill>
              <a:schemeClr val="accent1"/>
            </a:solidFill>
            <a:ln>
              <a:noFill/>
            </a:ln>
            <a:effectLst/>
          </c:spPr>
          <c:invertIfNegative val="0"/>
          <c:cat>
            <c:strRef>
              <c:f>'Reduce heating hours'!$B$19:$C$19</c:f>
              <c:strCache>
                <c:ptCount val="2"/>
                <c:pt idx="0">
                  <c:v>Solid walls</c:v>
                </c:pt>
                <c:pt idx="1">
                  <c:v>Other walls</c:v>
                </c:pt>
              </c:strCache>
            </c:strRef>
          </c:cat>
          <c:val>
            <c:numRef>
              <c:f>'Reduce heating hours'!$B$20:$C$20</c:f>
              <c:numCache>
                <c:formatCode>0.00%</c:formatCode>
                <c:ptCount val="2"/>
                <c:pt idx="0">
                  <c:v>1.4E-2</c:v>
                </c:pt>
                <c:pt idx="1">
                  <c:v>1.2E-2</c:v>
                </c:pt>
              </c:numCache>
            </c:numRef>
          </c:val>
          <c:extLst>
            <c:ext xmlns:c16="http://schemas.microsoft.com/office/drawing/2014/chart" uri="{C3380CC4-5D6E-409C-BE32-E72D297353CC}">
              <c16:uniqueId val="{00000000-C6A7-BE44-A81A-6B456EA865C2}"/>
            </c:ext>
          </c:extLst>
        </c:ser>
        <c:ser>
          <c:idx val="1"/>
          <c:order val="1"/>
          <c:tx>
            <c:strRef>
              <c:f>'Reduce heating hours'!$A$21</c:f>
              <c:strCache>
                <c:ptCount val="1"/>
                <c:pt idx="0">
                  <c:v>CHM</c:v>
                </c:pt>
              </c:strCache>
            </c:strRef>
          </c:tx>
          <c:spPr>
            <a:solidFill>
              <a:schemeClr val="accent2"/>
            </a:solidFill>
            <a:ln>
              <a:noFill/>
            </a:ln>
            <a:effectLst/>
          </c:spPr>
          <c:invertIfNegative val="0"/>
          <c:cat>
            <c:strRef>
              <c:f>'Reduce heating hours'!$B$19:$C$19</c:f>
              <c:strCache>
                <c:ptCount val="2"/>
                <c:pt idx="0">
                  <c:v>Solid walls</c:v>
                </c:pt>
                <c:pt idx="1">
                  <c:v>Other walls</c:v>
                </c:pt>
              </c:strCache>
            </c:strRef>
          </c:cat>
          <c:val>
            <c:numRef>
              <c:f>'Reduce heating hours'!$B$21:$C$21</c:f>
              <c:numCache>
                <c:formatCode>0.00%</c:formatCode>
                <c:ptCount val="2"/>
                <c:pt idx="0">
                  <c:v>1.5900000000000001E-2</c:v>
                </c:pt>
                <c:pt idx="1">
                  <c:v>1.15E-2</c:v>
                </c:pt>
              </c:numCache>
            </c:numRef>
          </c:val>
          <c:extLst>
            <c:ext xmlns:c16="http://schemas.microsoft.com/office/drawing/2014/chart" uri="{C3380CC4-5D6E-409C-BE32-E72D297353CC}">
              <c16:uniqueId val="{00000001-C6A7-BE44-A81A-6B456EA865C2}"/>
            </c:ext>
          </c:extLst>
        </c:ser>
        <c:dLbls>
          <c:showLegendKey val="0"/>
          <c:showVal val="0"/>
          <c:showCatName val="0"/>
          <c:showSerName val="0"/>
          <c:showPercent val="0"/>
          <c:showBubbleSize val="0"/>
        </c:dLbls>
        <c:gapWidth val="219"/>
        <c:overlap val="-27"/>
        <c:axId val="366311768"/>
        <c:axId val="366879248"/>
      </c:barChart>
      <c:catAx>
        <c:axId val="366311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879248"/>
        <c:crosses val="autoZero"/>
        <c:auto val="1"/>
        <c:lblAlgn val="ctr"/>
        <c:lblOffset val="100"/>
        <c:noMultiLvlLbl val="0"/>
      </c:catAx>
      <c:valAx>
        <c:axId val="36687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Energy</a:t>
                </a:r>
                <a:r>
                  <a:rPr lang="en-GB" baseline="0"/>
                  <a:t> saivngs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311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Bill savings from removing</a:t>
            </a:r>
            <a:r>
              <a:rPr lang="en-GB" baseline="0"/>
              <a:t> obstructions from  radiators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'Moving furniture'!$C$11</c:f>
              <c:strCache>
                <c:ptCount val="1"/>
                <c:pt idx="0">
                  <c:v>median</c:v>
                </c:pt>
              </c:strCache>
            </c:strRef>
          </c:tx>
          <c:spPr>
            <a:ln w="28575" cap="rnd">
              <a:solidFill>
                <a:schemeClr val="accent2"/>
              </a:solidFill>
              <a:round/>
            </a:ln>
            <a:effectLst/>
          </c:spPr>
          <c:marker>
            <c:symbol val="none"/>
          </c:marker>
          <c:cat>
            <c:numRef>
              <c:f>'Moving furniture'!$B$12:$B$14</c:f>
              <c:numCache>
                <c:formatCode>0%</c:formatCode>
                <c:ptCount val="3"/>
                <c:pt idx="0">
                  <c:v>0.1</c:v>
                </c:pt>
                <c:pt idx="1">
                  <c:v>0.2</c:v>
                </c:pt>
                <c:pt idx="2">
                  <c:v>0.4</c:v>
                </c:pt>
              </c:numCache>
            </c:numRef>
          </c:cat>
          <c:val>
            <c:numRef>
              <c:f>'Moving furniture'!$C$12:$C$14</c:f>
              <c:numCache>
                <c:formatCode>0.0%</c:formatCode>
                <c:ptCount val="3"/>
                <c:pt idx="0">
                  <c:v>0</c:v>
                </c:pt>
                <c:pt idx="1">
                  <c:v>0</c:v>
                </c:pt>
                <c:pt idx="2">
                  <c:v>-7.0000000000000001E-3</c:v>
                </c:pt>
              </c:numCache>
            </c:numRef>
          </c:val>
          <c:smooth val="0"/>
          <c:extLst>
            <c:ext xmlns:c16="http://schemas.microsoft.com/office/drawing/2014/chart" uri="{C3380CC4-5D6E-409C-BE32-E72D297353CC}">
              <c16:uniqueId val="{00000001-6C12-DF4C-9524-090A6851F27C}"/>
            </c:ext>
          </c:extLst>
        </c:ser>
        <c:ser>
          <c:idx val="2"/>
          <c:order val="1"/>
          <c:tx>
            <c:strRef>
              <c:f>'Moving furniture'!$D$11</c:f>
              <c:strCache>
                <c:ptCount val="1"/>
                <c:pt idx="0">
                  <c:v>lower quartile</c:v>
                </c:pt>
              </c:strCache>
            </c:strRef>
          </c:tx>
          <c:spPr>
            <a:ln w="28575" cap="rnd">
              <a:solidFill>
                <a:srgbClr val="FF0000"/>
              </a:solidFill>
              <a:prstDash val="dash"/>
              <a:round/>
            </a:ln>
            <a:effectLst/>
          </c:spPr>
          <c:marker>
            <c:symbol val="none"/>
          </c:marker>
          <c:cat>
            <c:numRef>
              <c:f>'Moving furniture'!$B$12:$B$14</c:f>
              <c:numCache>
                <c:formatCode>0%</c:formatCode>
                <c:ptCount val="3"/>
                <c:pt idx="0">
                  <c:v>0.1</c:v>
                </c:pt>
                <c:pt idx="1">
                  <c:v>0.2</c:v>
                </c:pt>
                <c:pt idx="2">
                  <c:v>0.4</c:v>
                </c:pt>
              </c:numCache>
            </c:numRef>
          </c:cat>
          <c:val>
            <c:numRef>
              <c:f>'Moving furniture'!$D$12:$D$14</c:f>
              <c:numCache>
                <c:formatCode>0.0%</c:formatCode>
                <c:ptCount val="3"/>
                <c:pt idx="0">
                  <c:v>2E-3</c:v>
                </c:pt>
                <c:pt idx="1">
                  <c:v>3.0000000000000001E-3</c:v>
                </c:pt>
                <c:pt idx="2">
                  <c:v>-1E-3</c:v>
                </c:pt>
              </c:numCache>
            </c:numRef>
          </c:val>
          <c:smooth val="0"/>
          <c:extLst>
            <c:ext xmlns:c16="http://schemas.microsoft.com/office/drawing/2014/chart" uri="{C3380CC4-5D6E-409C-BE32-E72D297353CC}">
              <c16:uniqueId val="{00000002-6C12-DF4C-9524-090A6851F27C}"/>
            </c:ext>
          </c:extLst>
        </c:ser>
        <c:ser>
          <c:idx val="3"/>
          <c:order val="2"/>
          <c:tx>
            <c:strRef>
              <c:f>'Moving furniture'!$E$11</c:f>
              <c:strCache>
                <c:ptCount val="1"/>
                <c:pt idx="0">
                  <c:v>upper quartile</c:v>
                </c:pt>
              </c:strCache>
            </c:strRef>
          </c:tx>
          <c:spPr>
            <a:ln w="28575" cap="rnd">
              <a:solidFill>
                <a:srgbClr val="FF0000"/>
              </a:solidFill>
              <a:prstDash val="sysDash"/>
              <a:round/>
            </a:ln>
            <a:effectLst/>
          </c:spPr>
          <c:marker>
            <c:symbol val="none"/>
          </c:marker>
          <c:cat>
            <c:numRef>
              <c:f>'Moving furniture'!$B$12:$B$14</c:f>
              <c:numCache>
                <c:formatCode>0%</c:formatCode>
                <c:ptCount val="3"/>
                <c:pt idx="0">
                  <c:v>0.1</c:v>
                </c:pt>
                <c:pt idx="1">
                  <c:v>0.2</c:v>
                </c:pt>
                <c:pt idx="2">
                  <c:v>0.4</c:v>
                </c:pt>
              </c:numCache>
            </c:numRef>
          </c:cat>
          <c:val>
            <c:numRef>
              <c:f>'Moving furniture'!$E$12:$E$14</c:f>
              <c:numCache>
                <c:formatCode>0.0%</c:formatCode>
                <c:ptCount val="3"/>
                <c:pt idx="0">
                  <c:v>-1E-3</c:v>
                </c:pt>
                <c:pt idx="1">
                  <c:v>-2E-3</c:v>
                </c:pt>
                <c:pt idx="2">
                  <c:v>-1.2999999999999999E-2</c:v>
                </c:pt>
              </c:numCache>
            </c:numRef>
          </c:val>
          <c:smooth val="0"/>
          <c:extLst>
            <c:ext xmlns:c16="http://schemas.microsoft.com/office/drawing/2014/chart" uri="{C3380CC4-5D6E-409C-BE32-E72D297353CC}">
              <c16:uniqueId val="{00000003-6C12-DF4C-9524-090A6851F27C}"/>
            </c:ext>
          </c:extLst>
        </c:ser>
        <c:ser>
          <c:idx val="4"/>
          <c:order val="3"/>
          <c:tx>
            <c:strRef>
              <c:f>'Moving furniture'!$F$11</c:f>
              <c:strCache>
                <c:ptCount val="1"/>
                <c:pt idx="0">
                  <c:v>weighted mean</c:v>
                </c:pt>
              </c:strCache>
            </c:strRef>
          </c:tx>
          <c:spPr>
            <a:ln w="28575" cap="rnd">
              <a:solidFill>
                <a:schemeClr val="accent5"/>
              </a:solidFill>
              <a:round/>
            </a:ln>
            <a:effectLst/>
          </c:spPr>
          <c:marker>
            <c:symbol val="none"/>
          </c:marker>
          <c:cat>
            <c:numRef>
              <c:f>'Moving furniture'!$B$12:$B$14</c:f>
              <c:numCache>
                <c:formatCode>0%</c:formatCode>
                <c:ptCount val="3"/>
                <c:pt idx="0">
                  <c:v>0.1</c:v>
                </c:pt>
                <c:pt idx="1">
                  <c:v>0.2</c:v>
                </c:pt>
                <c:pt idx="2">
                  <c:v>0.4</c:v>
                </c:pt>
              </c:numCache>
            </c:numRef>
          </c:cat>
          <c:val>
            <c:numRef>
              <c:f>'Moving furniture'!$F$12:$F$14</c:f>
              <c:numCache>
                <c:formatCode>0.0%</c:formatCode>
                <c:ptCount val="3"/>
                <c:pt idx="0">
                  <c:v>0</c:v>
                </c:pt>
                <c:pt idx="1">
                  <c:v>0</c:v>
                </c:pt>
                <c:pt idx="2">
                  <c:v>-8.9999999999999993E-3</c:v>
                </c:pt>
              </c:numCache>
            </c:numRef>
          </c:val>
          <c:smooth val="0"/>
          <c:extLst>
            <c:ext xmlns:c16="http://schemas.microsoft.com/office/drawing/2014/chart" uri="{C3380CC4-5D6E-409C-BE32-E72D297353CC}">
              <c16:uniqueId val="{00000004-6C12-DF4C-9524-090A6851F27C}"/>
            </c:ext>
          </c:extLst>
        </c:ser>
        <c:dLbls>
          <c:showLegendKey val="0"/>
          <c:showVal val="0"/>
          <c:showCatName val="0"/>
          <c:showSerName val="0"/>
          <c:showPercent val="0"/>
          <c:showBubbleSize val="0"/>
        </c:dLbls>
        <c:smooth val="0"/>
        <c:axId val="366608680"/>
        <c:axId val="366617264"/>
      </c:lineChart>
      <c:catAx>
        <c:axId val="3666086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Reduction</a:t>
                </a:r>
                <a:r>
                  <a:rPr lang="en-GB" baseline="0"/>
                  <a:t> in radiator capacity</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617264"/>
        <c:crosses val="autoZero"/>
        <c:auto val="1"/>
        <c:lblAlgn val="ctr"/>
        <c:lblOffset val="100"/>
        <c:noMultiLvlLbl val="0"/>
      </c:catAx>
      <c:valAx>
        <c:axId val="36661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Reduction</a:t>
                </a:r>
                <a:r>
                  <a:rPr lang="en-GB" baseline="0"/>
                  <a:t> in energu bill</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608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savings by area</a:t>
            </a:r>
            <a:r>
              <a:rPr lang="en-GB" baseline="0"/>
              <a:t> of window (using CHM)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'Closing curtains'!$A$11</c:f>
              <c:strCache>
                <c:ptCount val="1"/>
                <c:pt idx="0">
                  <c:v>Closing curtains on single glazed windows</c:v>
                </c:pt>
              </c:strCache>
            </c:strRef>
          </c:tx>
          <c:spPr>
            <a:solidFill>
              <a:schemeClr val="accent1"/>
            </a:solidFill>
            <a:ln>
              <a:noFill/>
            </a:ln>
            <a:effectLst/>
          </c:spPr>
          <c:invertIfNegative val="0"/>
          <c:cat>
            <c:strRef>
              <c:f>'Closing curtains'!$B$10:$J$10</c:f>
              <c:strCache>
                <c:ptCount val="9"/>
                <c:pt idx="0">
                  <c:v>Gas low</c:v>
                </c:pt>
                <c:pt idx="1">
                  <c:v>Gas Mean</c:v>
                </c:pt>
                <c:pt idx="2">
                  <c:v>Gas high</c:v>
                </c:pt>
                <c:pt idx="3">
                  <c:v>Oil low</c:v>
                </c:pt>
                <c:pt idx="4">
                  <c:v>Oil Mean</c:v>
                </c:pt>
                <c:pt idx="5">
                  <c:v>Oil high</c:v>
                </c:pt>
                <c:pt idx="6">
                  <c:v>Elec low</c:v>
                </c:pt>
                <c:pt idx="7">
                  <c:v>Elec Mean</c:v>
                </c:pt>
                <c:pt idx="8">
                  <c:v>Elec high</c:v>
                </c:pt>
              </c:strCache>
            </c:strRef>
          </c:cat>
          <c:val>
            <c:numRef>
              <c:f>'Closing curtains'!$B$11:$J$11</c:f>
              <c:numCache>
                <c:formatCode>0</c:formatCode>
                <c:ptCount val="9"/>
                <c:pt idx="0">
                  <c:v>28</c:v>
                </c:pt>
                <c:pt idx="1">
                  <c:v>34</c:v>
                </c:pt>
                <c:pt idx="2">
                  <c:v>37</c:v>
                </c:pt>
                <c:pt idx="3">
                  <c:v>26</c:v>
                </c:pt>
                <c:pt idx="4">
                  <c:v>30</c:v>
                </c:pt>
                <c:pt idx="5">
                  <c:v>33</c:v>
                </c:pt>
                <c:pt idx="6">
                  <c:v>32</c:v>
                </c:pt>
                <c:pt idx="7">
                  <c:v>33</c:v>
                </c:pt>
                <c:pt idx="8">
                  <c:v>34</c:v>
                </c:pt>
              </c:numCache>
            </c:numRef>
          </c:val>
          <c:extLst>
            <c:ext xmlns:c16="http://schemas.microsoft.com/office/drawing/2014/chart" uri="{C3380CC4-5D6E-409C-BE32-E72D297353CC}">
              <c16:uniqueId val="{00000000-A5F9-4D45-8D2C-E61CBFB6D1E5}"/>
            </c:ext>
          </c:extLst>
        </c:ser>
        <c:ser>
          <c:idx val="1"/>
          <c:order val="1"/>
          <c:tx>
            <c:strRef>
              <c:f>'Closing curtains'!$A$12</c:f>
              <c:strCache>
                <c:ptCount val="1"/>
                <c:pt idx="0">
                  <c:v>Closing curtains on double glazed windows</c:v>
                </c:pt>
              </c:strCache>
            </c:strRef>
          </c:tx>
          <c:spPr>
            <a:solidFill>
              <a:schemeClr val="accent2"/>
            </a:solidFill>
            <a:ln>
              <a:noFill/>
            </a:ln>
            <a:effectLst/>
          </c:spPr>
          <c:invertIfNegative val="0"/>
          <c:cat>
            <c:strRef>
              <c:f>'Closing curtains'!$B$10:$J$10</c:f>
              <c:strCache>
                <c:ptCount val="9"/>
                <c:pt idx="0">
                  <c:v>Gas low</c:v>
                </c:pt>
                <c:pt idx="1">
                  <c:v>Gas Mean</c:v>
                </c:pt>
                <c:pt idx="2">
                  <c:v>Gas high</c:v>
                </c:pt>
                <c:pt idx="3">
                  <c:v>Oil low</c:v>
                </c:pt>
                <c:pt idx="4">
                  <c:v>Oil Mean</c:v>
                </c:pt>
                <c:pt idx="5">
                  <c:v>Oil high</c:v>
                </c:pt>
                <c:pt idx="6">
                  <c:v>Elec low</c:v>
                </c:pt>
                <c:pt idx="7">
                  <c:v>Elec Mean</c:v>
                </c:pt>
                <c:pt idx="8">
                  <c:v>Elec high</c:v>
                </c:pt>
              </c:strCache>
            </c:strRef>
          </c:cat>
          <c:val>
            <c:numRef>
              <c:f>'Closing curtains'!$B$12:$J$12</c:f>
              <c:numCache>
                <c:formatCode>General</c:formatCode>
                <c:ptCount val="9"/>
                <c:pt idx="0" formatCode="0">
                  <c:v>14</c:v>
                </c:pt>
                <c:pt idx="1">
                  <c:v>16</c:v>
                </c:pt>
                <c:pt idx="2" formatCode="0">
                  <c:v>18</c:v>
                </c:pt>
                <c:pt idx="3" formatCode="0">
                  <c:v>13</c:v>
                </c:pt>
                <c:pt idx="4" formatCode="0">
                  <c:v>15</c:v>
                </c:pt>
                <c:pt idx="5" formatCode="0">
                  <c:v>16</c:v>
                </c:pt>
                <c:pt idx="6" formatCode="0">
                  <c:v>14</c:v>
                </c:pt>
                <c:pt idx="7" formatCode="0">
                  <c:v>15</c:v>
                </c:pt>
                <c:pt idx="8" formatCode="0">
                  <c:v>17</c:v>
                </c:pt>
              </c:numCache>
            </c:numRef>
          </c:val>
          <c:extLst>
            <c:ext xmlns:c16="http://schemas.microsoft.com/office/drawing/2014/chart" uri="{C3380CC4-5D6E-409C-BE32-E72D297353CC}">
              <c16:uniqueId val="{00000001-A5F9-4D45-8D2C-E61CBFB6D1E5}"/>
            </c:ext>
          </c:extLst>
        </c:ser>
        <c:dLbls>
          <c:showLegendKey val="0"/>
          <c:showVal val="0"/>
          <c:showCatName val="0"/>
          <c:showSerName val="0"/>
          <c:showPercent val="0"/>
          <c:showBubbleSize val="0"/>
        </c:dLbls>
        <c:gapWidth val="219"/>
        <c:overlap val="-27"/>
        <c:axId val="366668512"/>
        <c:axId val="366406808"/>
      </c:barChart>
      <c:catAx>
        <c:axId val="36666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406808"/>
        <c:crosses val="autoZero"/>
        <c:auto val="1"/>
        <c:lblAlgn val="ctr"/>
        <c:lblOffset val="100"/>
        <c:noMultiLvlLbl val="0"/>
      </c:catAx>
      <c:valAx>
        <c:axId val="366406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 savings per m2 window kWh/year/m2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66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Savings by area of window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'Window treatments'!$A$11</c:f>
              <c:strCache>
                <c:ptCount val="1"/>
                <c:pt idx="0">
                  <c:v>Film on single-glazed windows</c:v>
                </c:pt>
              </c:strCache>
            </c:strRef>
          </c:tx>
          <c:spPr>
            <a:solidFill>
              <a:schemeClr val="accent1"/>
            </a:solidFill>
            <a:ln>
              <a:noFill/>
            </a:ln>
            <a:effectLst/>
          </c:spPr>
          <c:invertIfNegative val="0"/>
          <c:cat>
            <c:strRef>
              <c:f>'Window treatments'!$B$10:$J$10</c:f>
              <c:strCache>
                <c:ptCount val="9"/>
                <c:pt idx="0">
                  <c:v>Gas low</c:v>
                </c:pt>
                <c:pt idx="1">
                  <c:v>Gas Mean</c:v>
                </c:pt>
                <c:pt idx="2">
                  <c:v>Gas high</c:v>
                </c:pt>
                <c:pt idx="3">
                  <c:v>Oil low</c:v>
                </c:pt>
                <c:pt idx="4">
                  <c:v>Oil Mean</c:v>
                </c:pt>
                <c:pt idx="5">
                  <c:v>Oil high</c:v>
                </c:pt>
                <c:pt idx="6">
                  <c:v>Elec low</c:v>
                </c:pt>
                <c:pt idx="7">
                  <c:v>Elec Mean</c:v>
                </c:pt>
                <c:pt idx="8">
                  <c:v>Elec high</c:v>
                </c:pt>
              </c:strCache>
            </c:strRef>
          </c:cat>
          <c:val>
            <c:numRef>
              <c:f>'Window treatments'!$B$11:$J$11</c:f>
              <c:numCache>
                <c:formatCode>0</c:formatCode>
                <c:ptCount val="9"/>
                <c:pt idx="0">
                  <c:v>38</c:v>
                </c:pt>
                <c:pt idx="1">
                  <c:v>50</c:v>
                </c:pt>
                <c:pt idx="2">
                  <c:v>52</c:v>
                </c:pt>
                <c:pt idx="3">
                  <c:v>35</c:v>
                </c:pt>
                <c:pt idx="4">
                  <c:v>42</c:v>
                </c:pt>
                <c:pt idx="5">
                  <c:v>45</c:v>
                </c:pt>
                <c:pt idx="6">
                  <c:v>36</c:v>
                </c:pt>
                <c:pt idx="7">
                  <c:v>46</c:v>
                </c:pt>
                <c:pt idx="8">
                  <c:v>48</c:v>
                </c:pt>
              </c:numCache>
            </c:numRef>
          </c:val>
          <c:extLst>
            <c:ext xmlns:c16="http://schemas.microsoft.com/office/drawing/2014/chart" uri="{C3380CC4-5D6E-409C-BE32-E72D297353CC}">
              <c16:uniqueId val="{00000000-B5FD-7449-9030-559B8E7727CA}"/>
            </c:ext>
          </c:extLst>
        </c:ser>
        <c:ser>
          <c:idx val="1"/>
          <c:order val="1"/>
          <c:tx>
            <c:strRef>
              <c:f>'Window treatments'!$A$12</c:f>
              <c:strCache>
                <c:ptCount val="1"/>
                <c:pt idx="0">
                  <c:v>Film on double-glazed windows</c:v>
                </c:pt>
              </c:strCache>
            </c:strRef>
          </c:tx>
          <c:spPr>
            <a:solidFill>
              <a:schemeClr val="accent2"/>
            </a:solidFill>
            <a:ln>
              <a:noFill/>
            </a:ln>
            <a:effectLst/>
          </c:spPr>
          <c:invertIfNegative val="0"/>
          <c:cat>
            <c:strRef>
              <c:f>'Window treatments'!$B$10:$J$10</c:f>
              <c:strCache>
                <c:ptCount val="9"/>
                <c:pt idx="0">
                  <c:v>Gas low</c:v>
                </c:pt>
                <c:pt idx="1">
                  <c:v>Gas Mean</c:v>
                </c:pt>
                <c:pt idx="2">
                  <c:v>Gas high</c:v>
                </c:pt>
                <c:pt idx="3">
                  <c:v>Oil low</c:v>
                </c:pt>
                <c:pt idx="4">
                  <c:v>Oil Mean</c:v>
                </c:pt>
                <c:pt idx="5">
                  <c:v>Oil high</c:v>
                </c:pt>
                <c:pt idx="6">
                  <c:v>Elec low</c:v>
                </c:pt>
                <c:pt idx="7">
                  <c:v>Elec Mean</c:v>
                </c:pt>
                <c:pt idx="8">
                  <c:v>Elec high</c:v>
                </c:pt>
              </c:strCache>
            </c:strRef>
          </c:cat>
          <c:val>
            <c:numRef>
              <c:f>'Window treatments'!$B$12:$J$12</c:f>
              <c:numCache>
                <c:formatCode>0</c:formatCode>
                <c:ptCount val="9"/>
                <c:pt idx="0">
                  <c:v>18</c:v>
                </c:pt>
                <c:pt idx="1">
                  <c:v>21</c:v>
                </c:pt>
                <c:pt idx="2" formatCode="General">
                  <c:v>23</c:v>
                </c:pt>
                <c:pt idx="3">
                  <c:v>17</c:v>
                </c:pt>
                <c:pt idx="4">
                  <c:v>19</c:v>
                </c:pt>
                <c:pt idx="5">
                  <c:v>21</c:v>
                </c:pt>
                <c:pt idx="6">
                  <c:v>18</c:v>
                </c:pt>
                <c:pt idx="7">
                  <c:v>19</c:v>
                </c:pt>
                <c:pt idx="8">
                  <c:v>22</c:v>
                </c:pt>
              </c:numCache>
            </c:numRef>
          </c:val>
          <c:extLst>
            <c:ext xmlns:c16="http://schemas.microsoft.com/office/drawing/2014/chart" uri="{C3380CC4-5D6E-409C-BE32-E72D297353CC}">
              <c16:uniqueId val="{00000001-B5FD-7449-9030-559B8E7727CA}"/>
            </c:ext>
          </c:extLst>
        </c:ser>
        <c:dLbls>
          <c:showLegendKey val="0"/>
          <c:showVal val="0"/>
          <c:showCatName val="0"/>
          <c:showSerName val="0"/>
          <c:showPercent val="0"/>
          <c:showBubbleSize val="0"/>
        </c:dLbls>
        <c:gapWidth val="219"/>
        <c:overlap val="-27"/>
        <c:axId val="367293352"/>
        <c:axId val="367384648"/>
      </c:barChart>
      <c:catAx>
        <c:axId val="367293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384648"/>
        <c:crosses val="autoZero"/>
        <c:auto val="1"/>
        <c:lblAlgn val="ctr"/>
        <c:lblOffset val="100"/>
        <c:noMultiLvlLbl val="0"/>
      </c:catAx>
      <c:valAx>
        <c:axId val="367384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kWh/m2 window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293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Gas homes, variation</a:t>
            </a:r>
            <a:r>
              <a:rPr lang="en-GB" baseline="0"/>
              <a:t> in </a:t>
            </a:r>
            <a:r>
              <a:rPr lang="en-GB"/>
              <a:t>savings for</a:t>
            </a:r>
            <a:r>
              <a:rPr lang="en-GB" baseline="0"/>
              <a:t> insulation upgrades to 150mm  or 300mm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0"/>
          <c:tx>
            <c:v>Low</c:v>
          </c:tx>
          <c:spPr>
            <a:solidFill>
              <a:schemeClr val="accent3"/>
            </a:solidFill>
            <a:ln>
              <a:noFill/>
            </a:ln>
            <a:effectLst/>
          </c:spPr>
          <c:invertIfNegative val="0"/>
          <c:cat>
            <c:strRef>
              <c:f>'Loft insulation'!$A$12:$A$17</c:f>
              <c:strCache>
                <c:ptCount val="6"/>
                <c:pt idx="0">
                  <c:v>None to 300mm</c:v>
                </c:pt>
                <c:pt idx="1">
                  <c:v>0- 50, to 300mm</c:v>
                </c:pt>
                <c:pt idx="2">
                  <c:v>50-100 to 300mm</c:v>
                </c:pt>
                <c:pt idx="3">
                  <c:v>100-150 to 300mm</c:v>
                </c:pt>
                <c:pt idx="4">
                  <c:v>150-200 to 300mm</c:v>
                </c:pt>
                <c:pt idx="5">
                  <c:v>200-250 to 300mm</c:v>
                </c:pt>
              </c:strCache>
            </c:strRef>
          </c:cat>
          <c:val>
            <c:numRef>
              <c:f>'Loft insulation'!$D$12:$D$17</c:f>
              <c:numCache>
                <c:formatCode>0.0</c:formatCode>
                <c:ptCount val="6"/>
                <c:pt idx="0">
                  <c:v>83</c:v>
                </c:pt>
                <c:pt idx="1">
                  <c:v>22.5</c:v>
                </c:pt>
                <c:pt idx="2">
                  <c:v>10</c:v>
                </c:pt>
                <c:pt idx="3">
                  <c:v>6.8</c:v>
                </c:pt>
                <c:pt idx="4">
                  <c:v>2.9</c:v>
                </c:pt>
                <c:pt idx="5">
                  <c:v>1.3</c:v>
                </c:pt>
              </c:numCache>
            </c:numRef>
          </c:val>
          <c:extLst>
            <c:ext xmlns:c16="http://schemas.microsoft.com/office/drawing/2014/chart" uri="{C3380CC4-5D6E-409C-BE32-E72D297353CC}">
              <c16:uniqueId val="{00000002-E6B8-8E44-8244-3F05113C4FA0}"/>
            </c:ext>
          </c:extLst>
        </c:ser>
        <c:ser>
          <c:idx val="3"/>
          <c:order val="1"/>
          <c:tx>
            <c:v>mean</c:v>
          </c:tx>
          <c:spPr>
            <a:solidFill>
              <a:schemeClr val="accent4"/>
            </a:solidFill>
            <a:ln>
              <a:noFill/>
            </a:ln>
            <a:effectLst/>
          </c:spPr>
          <c:invertIfNegative val="0"/>
          <c:cat>
            <c:strRef>
              <c:f>'Loft insulation'!$A$12:$A$17</c:f>
              <c:strCache>
                <c:ptCount val="6"/>
                <c:pt idx="0">
                  <c:v>None to 300mm</c:v>
                </c:pt>
                <c:pt idx="1">
                  <c:v>0- 50, to 300mm</c:v>
                </c:pt>
                <c:pt idx="2">
                  <c:v>50-100 to 300mm</c:v>
                </c:pt>
                <c:pt idx="3">
                  <c:v>100-150 to 300mm</c:v>
                </c:pt>
                <c:pt idx="4">
                  <c:v>150-200 to 300mm</c:v>
                </c:pt>
                <c:pt idx="5">
                  <c:v>200-250 to 300mm</c:v>
                </c:pt>
              </c:strCache>
            </c:strRef>
          </c:cat>
          <c:val>
            <c:numRef>
              <c:f>'Loft insulation'!$E$12:$E$17</c:f>
              <c:numCache>
                <c:formatCode>0.0</c:formatCode>
                <c:ptCount val="6"/>
                <c:pt idx="0">
                  <c:v>95.2</c:v>
                </c:pt>
                <c:pt idx="1">
                  <c:v>27.7</c:v>
                </c:pt>
                <c:pt idx="2">
                  <c:v>13.1</c:v>
                </c:pt>
                <c:pt idx="3">
                  <c:v>8</c:v>
                </c:pt>
                <c:pt idx="4">
                  <c:v>3.3</c:v>
                </c:pt>
                <c:pt idx="5">
                  <c:v>1.4</c:v>
                </c:pt>
              </c:numCache>
            </c:numRef>
          </c:val>
          <c:extLst>
            <c:ext xmlns:c16="http://schemas.microsoft.com/office/drawing/2014/chart" uri="{C3380CC4-5D6E-409C-BE32-E72D297353CC}">
              <c16:uniqueId val="{00000003-E6B8-8E44-8244-3F05113C4FA0}"/>
            </c:ext>
          </c:extLst>
        </c:ser>
        <c:ser>
          <c:idx val="4"/>
          <c:order val="2"/>
          <c:tx>
            <c:v>High</c:v>
          </c:tx>
          <c:spPr>
            <a:solidFill>
              <a:schemeClr val="accent5"/>
            </a:solidFill>
            <a:ln>
              <a:noFill/>
            </a:ln>
            <a:effectLst/>
          </c:spPr>
          <c:invertIfNegative val="0"/>
          <c:cat>
            <c:strRef>
              <c:f>'Loft insulation'!$A$12:$A$17</c:f>
              <c:strCache>
                <c:ptCount val="6"/>
                <c:pt idx="0">
                  <c:v>None to 300mm</c:v>
                </c:pt>
                <c:pt idx="1">
                  <c:v>0- 50, to 300mm</c:v>
                </c:pt>
                <c:pt idx="2">
                  <c:v>50-100 to 300mm</c:v>
                </c:pt>
                <c:pt idx="3">
                  <c:v>100-150 to 300mm</c:v>
                </c:pt>
                <c:pt idx="4">
                  <c:v>150-200 to 300mm</c:v>
                </c:pt>
                <c:pt idx="5">
                  <c:v>200-250 to 300mm</c:v>
                </c:pt>
              </c:strCache>
            </c:strRef>
          </c:cat>
          <c:val>
            <c:numRef>
              <c:f>'Loft insulation'!$F$12:$F$17</c:f>
              <c:numCache>
                <c:formatCode>0.0</c:formatCode>
                <c:ptCount val="6"/>
                <c:pt idx="0">
                  <c:v>105.8</c:v>
                </c:pt>
                <c:pt idx="1">
                  <c:v>31.3</c:v>
                </c:pt>
                <c:pt idx="2">
                  <c:v>14.7</c:v>
                </c:pt>
                <c:pt idx="3">
                  <c:v>9</c:v>
                </c:pt>
                <c:pt idx="4">
                  <c:v>3.7</c:v>
                </c:pt>
                <c:pt idx="5">
                  <c:v>1.6</c:v>
                </c:pt>
              </c:numCache>
            </c:numRef>
          </c:val>
          <c:extLst>
            <c:ext xmlns:c16="http://schemas.microsoft.com/office/drawing/2014/chart" uri="{C3380CC4-5D6E-409C-BE32-E72D297353CC}">
              <c16:uniqueId val="{00000004-E6B8-8E44-8244-3F05113C4FA0}"/>
            </c:ext>
          </c:extLst>
        </c:ser>
        <c:dLbls>
          <c:showLegendKey val="0"/>
          <c:showVal val="0"/>
          <c:showCatName val="0"/>
          <c:showSerName val="0"/>
          <c:showPercent val="0"/>
          <c:showBubbleSize val="0"/>
        </c:dLbls>
        <c:gapWidth val="219"/>
        <c:overlap val="-27"/>
        <c:axId val="367387000"/>
        <c:axId val="367387784"/>
      </c:barChart>
      <c:catAx>
        <c:axId val="36738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387784"/>
        <c:crosses val="autoZero"/>
        <c:auto val="1"/>
        <c:lblAlgn val="ctr"/>
        <c:lblOffset val="100"/>
        <c:noMultiLvlLbl val="0"/>
      </c:catAx>
      <c:valAx>
        <c:axId val="367387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baseline="0">
                    <a:effectLst/>
                  </a:rPr>
                  <a:t>Annual savings by loft area (kWh/year/m2)</a:t>
                </a:r>
                <a:endParaRPr lang="en-GB"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387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Mean household</a:t>
            </a:r>
            <a:r>
              <a:rPr lang="en-GB" baseline="0"/>
              <a:t> </a:t>
            </a:r>
            <a:r>
              <a:rPr lang="en-GB"/>
              <a:t>savings by fuel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Gas</c:v>
          </c:tx>
          <c:spPr>
            <a:solidFill>
              <a:schemeClr val="accent1"/>
            </a:solidFill>
            <a:ln>
              <a:noFill/>
            </a:ln>
            <a:effectLst/>
          </c:spPr>
          <c:invertIfNegative val="0"/>
          <c:cat>
            <c:strRef>
              <c:f>'Loft insulation'!$A$12:$A$17</c:f>
              <c:strCache>
                <c:ptCount val="6"/>
                <c:pt idx="0">
                  <c:v>None to 300mm</c:v>
                </c:pt>
                <c:pt idx="1">
                  <c:v>0- 50, to 300mm</c:v>
                </c:pt>
                <c:pt idx="2">
                  <c:v>50-100 to 300mm</c:v>
                </c:pt>
                <c:pt idx="3">
                  <c:v>100-150 to 300mm</c:v>
                </c:pt>
                <c:pt idx="4">
                  <c:v>150-200 to 300mm</c:v>
                </c:pt>
                <c:pt idx="5">
                  <c:v>200-250 to 300mm</c:v>
                </c:pt>
              </c:strCache>
            </c:strRef>
          </c:cat>
          <c:val>
            <c:numRef>
              <c:f>'Loft insulation'!$E$12:$E$17</c:f>
              <c:numCache>
                <c:formatCode>0.0</c:formatCode>
                <c:ptCount val="6"/>
                <c:pt idx="0">
                  <c:v>95.2</c:v>
                </c:pt>
                <c:pt idx="1">
                  <c:v>27.7</c:v>
                </c:pt>
                <c:pt idx="2">
                  <c:v>13.1</c:v>
                </c:pt>
                <c:pt idx="3">
                  <c:v>8</c:v>
                </c:pt>
                <c:pt idx="4">
                  <c:v>3.3</c:v>
                </c:pt>
                <c:pt idx="5">
                  <c:v>1.4</c:v>
                </c:pt>
              </c:numCache>
            </c:numRef>
          </c:val>
          <c:extLst>
            <c:ext xmlns:c16="http://schemas.microsoft.com/office/drawing/2014/chart" uri="{C3380CC4-5D6E-409C-BE32-E72D297353CC}">
              <c16:uniqueId val="{00000000-170F-D443-9C0D-1C9120E52B0F}"/>
            </c:ext>
          </c:extLst>
        </c:ser>
        <c:ser>
          <c:idx val="1"/>
          <c:order val="1"/>
          <c:tx>
            <c:v>Electricity</c:v>
          </c:tx>
          <c:spPr>
            <a:solidFill>
              <a:schemeClr val="accent2"/>
            </a:solidFill>
            <a:ln>
              <a:noFill/>
            </a:ln>
            <a:effectLst/>
          </c:spPr>
          <c:invertIfNegative val="0"/>
          <c:val>
            <c:numRef>
              <c:f>'Loft insulation'!$J$12:$J$17</c:f>
              <c:numCache>
                <c:formatCode>0.0</c:formatCode>
                <c:ptCount val="6"/>
                <c:pt idx="0">
                  <c:v>79.599999999999994</c:v>
                </c:pt>
                <c:pt idx="1">
                  <c:v>23.8</c:v>
                </c:pt>
                <c:pt idx="2">
                  <c:v>10.9</c:v>
                </c:pt>
                <c:pt idx="3">
                  <c:v>6.9</c:v>
                </c:pt>
                <c:pt idx="4">
                  <c:v>2.9</c:v>
                </c:pt>
                <c:pt idx="5">
                  <c:v>1.2</c:v>
                </c:pt>
              </c:numCache>
            </c:numRef>
          </c:val>
          <c:extLst>
            <c:ext xmlns:c16="http://schemas.microsoft.com/office/drawing/2014/chart" uri="{C3380CC4-5D6E-409C-BE32-E72D297353CC}">
              <c16:uniqueId val="{00000001-170F-D443-9C0D-1C9120E52B0F}"/>
            </c:ext>
          </c:extLst>
        </c:ser>
        <c:dLbls>
          <c:showLegendKey val="0"/>
          <c:showVal val="0"/>
          <c:showCatName val="0"/>
          <c:showSerName val="0"/>
          <c:showPercent val="0"/>
          <c:showBubbleSize val="0"/>
        </c:dLbls>
        <c:gapWidth val="219"/>
        <c:overlap val="-27"/>
        <c:axId val="367388176"/>
        <c:axId val="367386216"/>
      </c:barChart>
      <c:catAx>
        <c:axId val="36738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386216"/>
        <c:crosses val="autoZero"/>
        <c:auto val="1"/>
        <c:lblAlgn val="ctr"/>
        <c:lblOffset val="100"/>
        <c:noMultiLvlLbl val="0"/>
      </c:catAx>
      <c:valAx>
        <c:axId val="367386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baseline="0">
                    <a:effectLst/>
                  </a:rPr>
                  <a:t>Annual savings by loft area (kWh/year/m2)</a:t>
                </a:r>
                <a:endParaRPr lang="en-GB"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388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Housing stock:</a:t>
            </a:r>
            <a:r>
              <a:rPr lang="en-GB" baseline="0"/>
              <a:t> l</a:t>
            </a:r>
            <a:r>
              <a:rPr lang="en-GB"/>
              <a:t>oft insulation levels by fuel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'Loft insulation'!$Q$25</c:f>
              <c:strCache>
                <c:ptCount val="1"/>
                <c:pt idx="0">
                  <c:v>Gas</c:v>
                </c:pt>
              </c:strCache>
            </c:strRef>
          </c:tx>
          <c:spPr>
            <a:solidFill>
              <a:schemeClr val="accent1"/>
            </a:solidFill>
            <a:ln>
              <a:noFill/>
            </a:ln>
            <a:effectLst/>
          </c:spPr>
          <c:invertIfNegative val="0"/>
          <c:cat>
            <c:strRef>
              <c:f>'Loft insulation'!$P$26:$P$32</c:f>
              <c:strCache>
                <c:ptCount val="7"/>
                <c:pt idx="0">
                  <c:v>None</c:v>
                </c:pt>
                <c:pt idx="1">
                  <c:v>1 to 50mm</c:v>
                </c:pt>
                <c:pt idx="2">
                  <c:v>51-100mm</c:v>
                </c:pt>
                <c:pt idx="3">
                  <c:v>101-150mm</c:v>
                </c:pt>
                <c:pt idx="4">
                  <c:v>151-200mm</c:v>
                </c:pt>
                <c:pt idx="5">
                  <c:v>201-250mm</c:v>
                </c:pt>
                <c:pt idx="6">
                  <c:v>251-350mm</c:v>
                </c:pt>
              </c:strCache>
            </c:strRef>
          </c:cat>
          <c:val>
            <c:numRef>
              <c:f>'Loft insulation'!$Q$26:$Q$32</c:f>
              <c:numCache>
                <c:formatCode>0.0%</c:formatCode>
                <c:ptCount val="7"/>
                <c:pt idx="0">
                  <c:v>1.4201650612262957E-2</c:v>
                </c:pt>
                <c:pt idx="1">
                  <c:v>4.7702165343086536E-2</c:v>
                </c:pt>
                <c:pt idx="2">
                  <c:v>0.23829302970239682</c:v>
                </c:pt>
                <c:pt idx="3">
                  <c:v>0.20008957178192124</c:v>
                </c:pt>
                <c:pt idx="4">
                  <c:v>0.17468203175609989</c:v>
                </c:pt>
                <c:pt idx="5">
                  <c:v>0.16855434670220121</c:v>
                </c:pt>
                <c:pt idx="6">
                  <c:v>0.15647720410203145</c:v>
                </c:pt>
              </c:numCache>
            </c:numRef>
          </c:val>
          <c:extLst>
            <c:ext xmlns:c16="http://schemas.microsoft.com/office/drawing/2014/chart" uri="{C3380CC4-5D6E-409C-BE32-E72D297353CC}">
              <c16:uniqueId val="{00000000-3E7D-0145-925F-8CDA344B68CF}"/>
            </c:ext>
          </c:extLst>
        </c:ser>
        <c:ser>
          <c:idx val="1"/>
          <c:order val="1"/>
          <c:tx>
            <c:strRef>
              <c:f>'Loft insulation'!$R$25</c:f>
              <c:strCache>
                <c:ptCount val="1"/>
                <c:pt idx="0">
                  <c:v>Oil</c:v>
                </c:pt>
              </c:strCache>
            </c:strRef>
          </c:tx>
          <c:spPr>
            <a:solidFill>
              <a:schemeClr val="accent2"/>
            </a:solidFill>
            <a:ln>
              <a:noFill/>
            </a:ln>
            <a:effectLst/>
          </c:spPr>
          <c:invertIfNegative val="0"/>
          <c:cat>
            <c:strRef>
              <c:f>'Loft insulation'!$P$26:$P$32</c:f>
              <c:strCache>
                <c:ptCount val="7"/>
                <c:pt idx="0">
                  <c:v>None</c:v>
                </c:pt>
                <c:pt idx="1">
                  <c:v>1 to 50mm</c:v>
                </c:pt>
                <c:pt idx="2">
                  <c:v>51-100mm</c:v>
                </c:pt>
                <c:pt idx="3">
                  <c:v>101-150mm</c:v>
                </c:pt>
                <c:pt idx="4">
                  <c:v>151-200mm</c:v>
                </c:pt>
                <c:pt idx="5">
                  <c:v>201-250mm</c:v>
                </c:pt>
                <c:pt idx="6">
                  <c:v>251-350mm</c:v>
                </c:pt>
              </c:strCache>
            </c:strRef>
          </c:cat>
          <c:val>
            <c:numRef>
              <c:f>'Loft insulation'!$R$26:$R$32</c:f>
              <c:numCache>
                <c:formatCode>0.0%</c:formatCode>
                <c:ptCount val="7"/>
                <c:pt idx="0">
                  <c:v>3.1700034429717208E-2</c:v>
                </c:pt>
                <c:pt idx="1">
                  <c:v>5.1791200884115582E-2</c:v>
                </c:pt>
                <c:pt idx="2">
                  <c:v>0.2534837221305149</c:v>
                </c:pt>
                <c:pt idx="3">
                  <c:v>0.21786412323563917</c:v>
                </c:pt>
                <c:pt idx="4">
                  <c:v>0.16268000295989177</c:v>
                </c:pt>
                <c:pt idx="5">
                  <c:v>0.1296225153368511</c:v>
                </c:pt>
                <c:pt idx="6">
                  <c:v>0.15285840102327028</c:v>
                </c:pt>
              </c:numCache>
            </c:numRef>
          </c:val>
          <c:extLst>
            <c:ext xmlns:c16="http://schemas.microsoft.com/office/drawing/2014/chart" uri="{C3380CC4-5D6E-409C-BE32-E72D297353CC}">
              <c16:uniqueId val="{00000001-3E7D-0145-925F-8CDA344B68CF}"/>
            </c:ext>
          </c:extLst>
        </c:ser>
        <c:ser>
          <c:idx val="2"/>
          <c:order val="2"/>
          <c:tx>
            <c:strRef>
              <c:f>'Loft insulation'!$S$25</c:f>
              <c:strCache>
                <c:ptCount val="1"/>
                <c:pt idx="0">
                  <c:v>Electricity</c:v>
                </c:pt>
              </c:strCache>
            </c:strRef>
          </c:tx>
          <c:spPr>
            <a:solidFill>
              <a:schemeClr val="accent3"/>
            </a:solidFill>
            <a:ln>
              <a:noFill/>
            </a:ln>
            <a:effectLst/>
          </c:spPr>
          <c:invertIfNegative val="0"/>
          <c:cat>
            <c:strRef>
              <c:f>'Loft insulation'!$P$26:$P$32</c:f>
              <c:strCache>
                <c:ptCount val="7"/>
                <c:pt idx="0">
                  <c:v>None</c:v>
                </c:pt>
                <c:pt idx="1">
                  <c:v>1 to 50mm</c:v>
                </c:pt>
                <c:pt idx="2">
                  <c:v>51-100mm</c:v>
                </c:pt>
                <c:pt idx="3">
                  <c:v>101-150mm</c:v>
                </c:pt>
                <c:pt idx="4">
                  <c:v>151-200mm</c:v>
                </c:pt>
                <c:pt idx="5">
                  <c:v>201-250mm</c:v>
                </c:pt>
                <c:pt idx="6">
                  <c:v>251-350mm</c:v>
                </c:pt>
              </c:strCache>
            </c:strRef>
          </c:cat>
          <c:val>
            <c:numRef>
              <c:f>'Loft insulation'!$S$26:$S$32</c:f>
              <c:numCache>
                <c:formatCode>0.0%</c:formatCode>
                <c:ptCount val="7"/>
                <c:pt idx="0">
                  <c:v>2.1343473511363821E-2</c:v>
                </c:pt>
                <c:pt idx="1">
                  <c:v>8.3879830576193359E-2</c:v>
                </c:pt>
                <c:pt idx="2">
                  <c:v>0.19845756437111572</c:v>
                </c:pt>
                <c:pt idx="3">
                  <c:v>0.21018831539248542</c:v>
                </c:pt>
                <c:pt idx="4">
                  <c:v>0.17455831102755909</c:v>
                </c:pt>
                <c:pt idx="5">
                  <c:v>0.16633223786769885</c:v>
                </c:pt>
                <c:pt idx="6">
                  <c:v>0.14524026725358374</c:v>
                </c:pt>
              </c:numCache>
            </c:numRef>
          </c:val>
          <c:extLst>
            <c:ext xmlns:c16="http://schemas.microsoft.com/office/drawing/2014/chart" uri="{C3380CC4-5D6E-409C-BE32-E72D297353CC}">
              <c16:uniqueId val="{00000002-3E7D-0145-925F-8CDA344B68CF}"/>
            </c:ext>
          </c:extLst>
        </c:ser>
        <c:dLbls>
          <c:showLegendKey val="0"/>
          <c:showVal val="0"/>
          <c:showCatName val="0"/>
          <c:showSerName val="0"/>
          <c:showPercent val="0"/>
          <c:showBubbleSize val="0"/>
        </c:dLbls>
        <c:gapWidth val="219"/>
        <c:overlap val="-27"/>
        <c:axId val="367385824"/>
        <c:axId val="367386608"/>
      </c:barChart>
      <c:catAx>
        <c:axId val="36738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386608"/>
        <c:crosses val="autoZero"/>
        <c:auto val="1"/>
        <c:lblAlgn val="ctr"/>
        <c:lblOffset val="100"/>
        <c:noMultiLvlLbl val="0"/>
      </c:catAx>
      <c:valAx>
        <c:axId val="36738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385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'Radiator foil'!$I$29</c:f>
              <c:strCache>
                <c:ptCount val="1"/>
                <c:pt idx="0">
                  <c:v>Savings (W/m2)</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'Radiator foil'!$H$30:$H$32</c:f>
              <c:numCache>
                <c:formatCode>General</c:formatCode>
                <c:ptCount val="3"/>
                <c:pt idx="0">
                  <c:v>0</c:v>
                </c:pt>
                <c:pt idx="1">
                  <c:v>1.1000000000000001</c:v>
                </c:pt>
                <c:pt idx="2">
                  <c:v>2.1</c:v>
                </c:pt>
              </c:numCache>
            </c:numRef>
          </c:xVal>
          <c:yVal>
            <c:numRef>
              <c:f>'Radiator foil'!$I$30:$I$32</c:f>
              <c:numCache>
                <c:formatCode>0.0</c:formatCode>
                <c:ptCount val="3"/>
                <c:pt idx="0" formatCode="General">
                  <c:v>0</c:v>
                </c:pt>
                <c:pt idx="1">
                  <c:v>15.545546148176189</c:v>
                </c:pt>
                <c:pt idx="2">
                  <c:v>24.144541522793073</c:v>
                </c:pt>
              </c:numCache>
            </c:numRef>
          </c:yVal>
          <c:smooth val="1"/>
          <c:extLst>
            <c:ext xmlns:c16="http://schemas.microsoft.com/office/drawing/2014/chart" uri="{C3380CC4-5D6E-409C-BE32-E72D297353CC}">
              <c16:uniqueId val="{00000000-8B5B-684C-99D1-BB5E1F578A73}"/>
            </c:ext>
          </c:extLst>
        </c:ser>
        <c:dLbls>
          <c:showLegendKey val="0"/>
          <c:showVal val="0"/>
          <c:showCatName val="0"/>
          <c:showSerName val="0"/>
          <c:showPercent val="0"/>
          <c:showBubbleSize val="0"/>
        </c:dLbls>
        <c:axId val="366164976"/>
        <c:axId val="366163408"/>
      </c:scatterChart>
      <c:valAx>
        <c:axId val="3661649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Wall U-value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163408"/>
        <c:crosses val="autoZero"/>
        <c:crossBetween val="midCat"/>
      </c:valAx>
      <c:valAx>
        <c:axId val="366163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Heat savings W/m2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164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161925</xdr:rowOff>
    </xdr:from>
    <xdr:to>
      <xdr:col>9</xdr:col>
      <xdr:colOff>388289</xdr:colOff>
      <xdr:row>11</xdr:row>
      <xdr:rowOff>285750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76275" y="361950"/>
          <a:ext cx="5798489" cy="4276725"/>
        </a:xfrm>
        <a:prstGeom prst="rect">
          <a:avLst/>
        </a:prstGeom>
      </xdr:spPr>
    </xdr:pic>
    <xdr:clientData/>
  </xdr:twoCellAnchor>
  <xdr:twoCellAnchor editAs="oneCell">
    <xdr:from>
      <xdr:col>1</xdr:col>
      <xdr:colOff>476250</xdr:colOff>
      <xdr:row>2</xdr:row>
      <xdr:rowOff>219075</xdr:rowOff>
    </xdr:from>
    <xdr:to>
      <xdr:col>3</xdr:col>
      <xdr:colOff>339890</xdr:colOff>
      <xdr:row>2</xdr:row>
      <xdr:rowOff>609655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105150" y="819150"/>
          <a:ext cx="1178090" cy="390580"/>
        </a:xfrm>
        <a:prstGeom prst="rect">
          <a:avLst/>
        </a:prstGeom>
      </xdr:spPr>
    </xdr:pic>
    <xdr:clientData/>
  </xdr:twoCellAnchor>
  <xdr:twoCellAnchor>
    <xdr:from>
      <xdr:col>3</xdr:col>
      <xdr:colOff>333375</xdr:colOff>
      <xdr:row>2</xdr:row>
      <xdr:rowOff>323850</xdr:rowOff>
    </xdr:from>
    <xdr:to>
      <xdr:col>3</xdr:col>
      <xdr:colOff>514350</xdr:colOff>
      <xdr:row>2</xdr:row>
      <xdr:rowOff>609600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4276725" y="923925"/>
          <a:ext cx="180975"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514350</xdr:colOff>
      <xdr:row>2</xdr:row>
      <xdr:rowOff>600075</xdr:rowOff>
    </xdr:from>
    <xdr:to>
      <xdr:col>6</xdr:col>
      <xdr:colOff>228600</xdr:colOff>
      <xdr:row>2</xdr:row>
      <xdr:rowOff>1225550</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3143250" y="1200150"/>
          <a:ext cx="3000375" cy="6254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266700</xdr:colOff>
      <xdr:row>2</xdr:row>
      <xdr:rowOff>866775</xdr:rowOff>
    </xdr:from>
    <xdr:to>
      <xdr:col>7</xdr:col>
      <xdr:colOff>666750</xdr:colOff>
      <xdr:row>2</xdr:row>
      <xdr:rowOff>1428750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942975" y="1266825"/>
          <a:ext cx="4457700" cy="5619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oneCellAnchor>
    <xdr:from>
      <xdr:col>1</xdr:col>
      <xdr:colOff>457201</xdr:colOff>
      <xdr:row>2</xdr:row>
      <xdr:rowOff>647701</xdr:rowOff>
    </xdr:from>
    <xdr:ext cx="4067174" cy="796757"/>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33476" y="1047751"/>
          <a:ext cx="4067174" cy="796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500" b="1">
              <a:solidFill>
                <a:srgbClr val="130BBB"/>
              </a:solidFill>
            </a:rPr>
            <a:t>Free and low-cost energy-saving actions to bring down bills, improve energy security and help the planet</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12</xdr:col>
      <xdr:colOff>744360</xdr:colOff>
      <xdr:row>8</xdr:row>
      <xdr:rowOff>324556</xdr:rowOff>
    </xdr:from>
    <xdr:to>
      <xdr:col>21</xdr:col>
      <xdr:colOff>65122</xdr:colOff>
      <xdr:row>24</xdr:row>
      <xdr:rowOff>162088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srcRect l="2494" t="16370" r="2334"/>
        <a:stretch/>
      </xdr:blipFill>
      <xdr:spPr>
        <a:xfrm>
          <a:off x="16774582" y="10865556"/>
          <a:ext cx="7535334" cy="6242072"/>
        </a:xfrm>
        <a:prstGeom prst="rect">
          <a:avLst/>
        </a:prstGeom>
      </xdr:spPr>
    </xdr:pic>
    <xdr:clientData/>
  </xdr:twoCellAnchor>
  <xdr:twoCellAnchor editAs="oneCell">
    <xdr:from>
      <xdr:col>22</xdr:col>
      <xdr:colOff>292100</xdr:colOff>
      <xdr:row>8</xdr:row>
      <xdr:rowOff>253998</xdr:rowOff>
    </xdr:from>
    <xdr:to>
      <xdr:col>33</xdr:col>
      <xdr:colOff>12488</xdr:colOff>
      <xdr:row>27</xdr:row>
      <xdr:rowOff>181539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2"/>
        <a:srcRect t="3907"/>
        <a:stretch/>
      </xdr:blipFill>
      <xdr:spPr>
        <a:xfrm>
          <a:off x="25681517" y="8466665"/>
          <a:ext cx="8915400" cy="6656918"/>
        </a:xfrm>
        <a:prstGeom prst="rect">
          <a:avLst/>
        </a:prstGeom>
      </xdr:spPr>
    </xdr:pic>
    <xdr:clientData/>
  </xdr:twoCellAnchor>
  <xdr:twoCellAnchor>
    <xdr:from>
      <xdr:col>6</xdr:col>
      <xdr:colOff>268111</xdr:colOff>
      <xdr:row>20</xdr:row>
      <xdr:rowOff>98777</xdr:rowOff>
    </xdr:from>
    <xdr:to>
      <xdr:col>10</xdr:col>
      <xdr:colOff>663223</xdr:colOff>
      <xdr:row>36</xdr:row>
      <xdr:rowOff>14111</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317501</xdr:colOff>
      <xdr:row>79</xdr:row>
      <xdr:rowOff>50800</xdr:rowOff>
    </xdr:from>
    <xdr:to>
      <xdr:col>19</xdr:col>
      <xdr:colOff>361864</xdr:colOff>
      <xdr:row>101</xdr:row>
      <xdr:rowOff>83398</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5062201" y="27381200"/>
          <a:ext cx="6746152" cy="5270500"/>
        </a:xfrm>
        <a:prstGeom prst="rect">
          <a:avLst/>
        </a:prstGeom>
      </xdr:spPr>
    </xdr:pic>
    <xdr:clientData/>
  </xdr:twoCellAnchor>
  <xdr:twoCellAnchor editAs="oneCell">
    <xdr:from>
      <xdr:col>19</xdr:col>
      <xdr:colOff>340079</xdr:colOff>
      <xdr:row>81</xdr:row>
      <xdr:rowOff>166697</xdr:rowOff>
    </xdr:from>
    <xdr:to>
      <xdr:col>27</xdr:col>
      <xdr:colOff>704655</xdr:colOff>
      <xdr:row>101</xdr:row>
      <xdr:rowOff>169619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stretch>
          <a:fillRect/>
        </a:stretch>
      </xdr:blipFill>
      <xdr:spPr>
        <a:xfrm>
          <a:off x="22529801" y="22702141"/>
          <a:ext cx="7797886" cy="49274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3746500</xdr:colOff>
      <xdr:row>4</xdr:row>
      <xdr:rowOff>12700</xdr:rowOff>
    </xdr:from>
    <xdr:to>
      <xdr:col>6</xdr:col>
      <xdr:colOff>228600</xdr:colOff>
      <xdr:row>6</xdr:row>
      <xdr:rowOff>1555750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746500" y="2349500"/>
          <a:ext cx="5372100" cy="4787900"/>
        </a:xfrm>
        <a:prstGeom prst="rect">
          <a:avLst/>
        </a:prstGeom>
      </xdr:spPr>
    </xdr:pic>
    <xdr:clientData/>
  </xdr:twoCellAnchor>
  <xdr:twoCellAnchor>
    <xdr:from>
      <xdr:col>3</xdr:col>
      <xdr:colOff>92075</xdr:colOff>
      <xdr:row>18</xdr:row>
      <xdr:rowOff>47628</xdr:rowOff>
    </xdr:from>
    <xdr:to>
      <xdr:col>10</xdr:col>
      <xdr:colOff>9525</xdr:colOff>
      <xdr:row>29</xdr:row>
      <xdr:rowOff>133350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273050</xdr:colOff>
      <xdr:row>5</xdr:row>
      <xdr:rowOff>34925</xdr:rowOff>
    </xdr:from>
    <xdr:to>
      <xdr:col>5</xdr:col>
      <xdr:colOff>320523</xdr:colOff>
      <xdr:row>7</xdr:row>
      <xdr:rowOff>389890</xdr:rowOff>
    </xdr:to>
    <xdr:pic>
      <xdr:nvPicPr>
        <xdr:cNvPr id="2" name="Picture 1" descr="Chart&#10;&#10;Description automatically generated">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816475" y="2435225"/>
          <a:ext cx="4352773" cy="27552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6350</xdr:colOff>
      <xdr:row>8</xdr:row>
      <xdr:rowOff>19050</xdr:rowOff>
    </xdr:from>
    <xdr:to>
      <xdr:col>13</xdr:col>
      <xdr:colOff>146050</xdr:colOff>
      <xdr:row>19</xdr:row>
      <xdr:rowOff>114300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825500</xdr:colOff>
      <xdr:row>4</xdr:row>
      <xdr:rowOff>158750</xdr:rowOff>
    </xdr:from>
    <xdr:to>
      <xdr:col>6</xdr:col>
      <xdr:colOff>419100</xdr:colOff>
      <xdr:row>6</xdr:row>
      <xdr:rowOff>565150</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320675</xdr:colOff>
      <xdr:row>5</xdr:row>
      <xdr:rowOff>723900</xdr:rowOff>
    </xdr:from>
    <xdr:to>
      <xdr:col>10</xdr:col>
      <xdr:colOff>3175</xdr:colOff>
      <xdr:row>7</xdr:row>
      <xdr:rowOff>187325</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69849</xdr:colOff>
      <xdr:row>2</xdr:row>
      <xdr:rowOff>206375</xdr:rowOff>
    </xdr:from>
    <xdr:to>
      <xdr:col>7</xdr:col>
      <xdr:colOff>733426</xdr:colOff>
      <xdr:row>5</xdr:row>
      <xdr:rowOff>511175</xdr:rowOff>
    </xdr:to>
    <xdr:graphicFrame macro="">
      <xdr:nvGraphicFramePr>
        <xdr:cNvPr id="7" name="Chart 6">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295275</xdr:colOff>
      <xdr:row>2</xdr:row>
      <xdr:rowOff>209550</xdr:rowOff>
    </xdr:from>
    <xdr:to>
      <xdr:col>14</xdr:col>
      <xdr:colOff>130175</xdr:colOff>
      <xdr:row>5</xdr:row>
      <xdr:rowOff>542925</xdr:rowOff>
    </xdr:to>
    <xdr:graphicFrame macro="">
      <xdr:nvGraphicFramePr>
        <xdr:cNvPr id="9" name="Chart 8">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60325</xdr:colOff>
      <xdr:row>5</xdr:row>
      <xdr:rowOff>1041400</xdr:rowOff>
    </xdr:from>
    <xdr:to>
      <xdr:col>7</xdr:col>
      <xdr:colOff>733425</xdr:colOff>
      <xdr:row>7</xdr:row>
      <xdr:rowOff>73025</xdr:rowOff>
    </xdr:to>
    <xdr:graphicFrame macro="">
      <xdr:nvGraphicFramePr>
        <xdr:cNvPr id="12" name="Chart 11">
          <a:extLst>
            <a:ext uri="{FF2B5EF4-FFF2-40B4-BE49-F238E27FC236}">
              <a16:creationId xmlns:a16="http://schemas.microsoft.com/office/drawing/2014/main" id="{00000000-0008-0000-0B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13</xdr:row>
      <xdr:rowOff>38100</xdr:rowOff>
    </xdr:from>
    <xdr:to>
      <xdr:col>12</xdr:col>
      <xdr:colOff>444500</xdr:colOff>
      <xdr:row>26</xdr:row>
      <xdr:rowOff>139700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457200</xdr:colOff>
      <xdr:row>34</xdr:row>
      <xdr:rowOff>50800</xdr:rowOff>
    </xdr:from>
    <xdr:to>
      <xdr:col>14</xdr:col>
      <xdr:colOff>723900</xdr:colOff>
      <xdr:row>51</xdr:row>
      <xdr:rowOff>177800</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9423400" y="11823700"/>
          <a:ext cx="7213600" cy="4508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rver/User_Data/server/User_Data/Users/nicolaterry/consulting/nesta/Priority%20list%20of%20lit%20review%2020.6.22%20revised%20(j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icolaterry/consulting/nesta/CAR-NESTA%20Heating%20Modelling-v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P/Downloads/CAR-NESTA%20Heating%20Modelling-v13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rig. Assumptions+Calcs"/>
      <sheetName val="Hot Water Assumptions+Calcs"/>
      <sheetName val="Washing Assumptions+Calc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ducing radiator temp"/>
      <sheetName val="Reduce heating hours"/>
      <sheetName val="Turn off keep-hot"/>
      <sheetName val="Reducing DHW temperature"/>
      <sheetName val="Moving furniture"/>
      <sheetName val="Closing curtains"/>
      <sheetName val="Window treatments"/>
      <sheetName val="Loft insulation"/>
      <sheetName val="Radiator foil"/>
      <sheetName val="Smart thermostats"/>
      <sheetName val="Assumptions"/>
      <sheetName val="Tariffs"/>
      <sheetName val="References"/>
      <sheetName val="Modelling Notes"/>
      <sheetName val="Change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3">
          <cell r="B43">
            <v>0.81542122138487605</v>
          </cell>
        </row>
      </sheetData>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Emily Reynolds" id="{808D8BF1-0D6F-0042-8BAD-5DCF66BEA725}" userId="S::e.reynolds@womenatwish.org.uk::b294b692-3a85-4bae-8950-8182e7f6c7b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6" dT="2022-10-05T13:04:54.01" personId="{808D8BF1-0D6F-0042-8BAD-5DCF66BEA725}" id="{2DFF7FF5-102A-4641-999C-577AC4CF655B}">
    <text>Check title - I can’t edit it</text>
  </threadedComment>
  <threadedComment ref="F16" dT="2022-10-05T13:18:09.03" personId="{808D8BF1-0D6F-0042-8BAD-5DCF66BEA725}" id="{3AC68BE7-C615-4B4D-BE98-F78608C5F4A4}" parentId="{2DFF7FF5-102A-4641-999C-577AC4CF655B}">
    <text>Change ‘these estimates of energy savings’ to ‘these energy savings estimates’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8" Type="http://schemas.openxmlformats.org/officeDocument/2006/relationships/hyperlink" Target="https://www.radflek.com/_webedit/uploaded-files/All%20Files/Radflek_FinalReport.pdf" TargetMode="External"/><Relationship Id="rId13" Type="http://schemas.openxmlformats.org/officeDocument/2006/relationships/hyperlink" Target="https://www.gov.uk/government/publications/heat-storage-and-distribution-systems-hds" TargetMode="External"/><Relationship Id="rId3" Type="http://schemas.openxmlformats.org/officeDocument/2006/relationships/hyperlink" Target="https://www.ons.gov.uk/peoplepopulationandcommunity/wellbeing/bulletins/publicopinionsandsocialtrendsgreatbritain/22juneto3july2022" TargetMode="External"/><Relationship Id="rId7" Type="http://schemas.openxmlformats.org/officeDocument/2006/relationships/hyperlink" Target="https://www.hhic.org.uk/uploads/6165409B9D4C9.pdf" TargetMode="External"/><Relationship Id="rId12" Type="http://schemas.openxmlformats.org/officeDocument/2006/relationships/hyperlink" Target="https://www.gov.uk/government/statistics/english-housing-survey-2020-to-2021-energy" TargetMode="External"/><Relationship Id="rId2" Type="http://schemas.openxmlformats.org/officeDocument/2006/relationships/hyperlink" Target="https://assets.publishing.service.gov.uk/government/uploads/system/uploads/attachment_data/file/1055629/Energy_Report_2019-20.pdf" TargetMode="External"/><Relationship Id="rId1" Type="http://schemas.openxmlformats.org/officeDocument/2006/relationships/hyperlink" Target="https://www.ons.gov.uk/peoplepopulationandcommunity/birthsdeathsandmarriages/families/bulletins/familiesandhouseholds/2020" TargetMode="External"/><Relationship Id="rId6" Type="http://schemas.openxmlformats.org/officeDocument/2006/relationships/hyperlink" Target="https://www.gov.uk/government/collections/government-conversion-factors-for-company-reporting" TargetMode="External"/><Relationship Id="rId11" Type="http://schemas.openxmlformats.org/officeDocument/2006/relationships/hyperlink" Target="https://www.nihe.gov.uk/Working-With-Us/Research/House-Condition-Survey" TargetMode="External"/><Relationship Id="rId5" Type="http://schemas.openxmlformats.org/officeDocument/2006/relationships/hyperlink" Target="https://gov.wales/sites/default/files/statistics-and-research/2019-10/welsh-housing-conditions-survey-energy-efficiency-dwellings-april-2017-march-2018-795.pdf" TargetMode="External"/><Relationship Id="rId10" Type="http://schemas.openxmlformats.org/officeDocument/2006/relationships/hyperlink" Target="https://statswales.gov.wales/Catalogue/Local-Government/Finance/Council-Tax/Dwellings/counciltaxdwellings-by-localauthority" TargetMode="External"/><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 Id="rId9" Type="http://schemas.openxmlformats.org/officeDocument/2006/relationships/hyperlink" Target="https://myboiler.com/opentherm/opentherm-boilers-and-controls/" TargetMode="External"/><Relationship Id="rId14" Type="http://schemas.openxmlformats.org/officeDocument/2006/relationships/hyperlink" Target="https://discovery.ucl.ac.uk/id/eprint/10065409/1/GJB_Thesis_postViva_v2_submission.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dimension ref="A1:AK50"/>
  <sheetViews>
    <sheetView tabSelected="1" workbookViewId="0">
      <selection activeCell="K2" sqref="K2"/>
    </sheetView>
  </sheetViews>
  <sheetFormatPr baseColWidth="10" defaultColWidth="8.83203125" defaultRowHeight="16"/>
  <cols>
    <col min="11" max="11" width="21.5" customWidth="1"/>
    <col min="18" max="18" width="0.83203125" customWidth="1"/>
  </cols>
  <sheetData>
    <row r="1" spans="1:37">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row>
    <row r="2" spans="1:37">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row>
    <row r="3" spans="1:37" ht="170.5" customHeight="1">
      <c r="A3" s="77"/>
      <c r="B3" s="77"/>
      <c r="C3" s="77"/>
      <c r="D3" s="77"/>
      <c r="E3" s="77"/>
      <c r="F3" s="77"/>
      <c r="G3" s="77"/>
      <c r="H3" s="77"/>
      <c r="I3" s="77"/>
      <c r="J3" s="77"/>
      <c r="K3" s="882" t="s">
        <v>870</v>
      </c>
      <c r="L3" s="883"/>
      <c r="M3" s="883"/>
      <c r="N3" s="883"/>
      <c r="O3" s="883"/>
      <c r="P3" s="883"/>
      <c r="Q3" s="883"/>
      <c r="R3" s="77"/>
      <c r="S3" s="77"/>
      <c r="T3" s="77"/>
      <c r="U3" s="77"/>
      <c r="V3" s="77"/>
      <c r="W3" s="77"/>
      <c r="X3" s="77"/>
      <c r="Y3" s="77"/>
      <c r="Z3" s="77"/>
      <c r="AA3" s="77"/>
      <c r="AB3" s="77"/>
      <c r="AC3" s="77"/>
      <c r="AD3" s="77"/>
      <c r="AE3" s="77"/>
      <c r="AF3" s="77"/>
      <c r="AG3" s="77"/>
      <c r="AH3" s="77"/>
      <c r="AI3" s="77"/>
      <c r="AJ3" s="77"/>
      <c r="AK3" s="77"/>
    </row>
    <row r="4" spans="1:37">
      <c r="A4" s="77"/>
      <c r="B4" s="77"/>
      <c r="C4" s="77"/>
      <c r="D4" s="77"/>
      <c r="E4" s="77"/>
      <c r="F4" s="77"/>
      <c r="G4" s="77"/>
      <c r="H4" s="77"/>
      <c r="I4" s="77"/>
      <c r="J4" s="77"/>
      <c r="K4" s="883"/>
      <c r="L4" s="883"/>
      <c r="M4" s="883"/>
      <c r="N4" s="883"/>
      <c r="O4" s="883"/>
      <c r="P4" s="883"/>
      <c r="Q4" s="883"/>
      <c r="R4" s="77"/>
      <c r="S4" s="77"/>
      <c r="T4" s="77"/>
      <c r="U4" s="77"/>
      <c r="V4" s="77"/>
      <c r="W4" s="77"/>
      <c r="X4" s="77"/>
      <c r="Y4" s="77"/>
      <c r="Z4" s="77"/>
      <c r="AA4" s="77"/>
      <c r="AB4" s="77"/>
      <c r="AC4" s="77"/>
      <c r="AD4" s="77"/>
      <c r="AE4" s="77"/>
      <c r="AF4" s="77"/>
      <c r="AG4" s="77"/>
      <c r="AH4" s="77"/>
      <c r="AI4" s="77"/>
      <c r="AJ4" s="77"/>
      <c r="AK4" s="77"/>
    </row>
    <row r="5" spans="1:37">
      <c r="A5" s="77"/>
      <c r="B5" s="77"/>
      <c r="C5" s="77"/>
      <c r="D5" s="77"/>
      <c r="E5" s="77"/>
      <c r="F5" s="77"/>
      <c r="G5" s="77"/>
      <c r="H5" s="77"/>
      <c r="I5" s="77"/>
      <c r="J5" s="77"/>
      <c r="K5" s="883"/>
      <c r="L5" s="883"/>
      <c r="M5" s="883"/>
      <c r="N5" s="883"/>
      <c r="O5" s="883"/>
      <c r="P5" s="883"/>
      <c r="Q5" s="883"/>
      <c r="R5" s="77"/>
      <c r="S5" s="77"/>
      <c r="T5" s="77"/>
      <c r="U5" s="77"/>
      <c r="V5" s="77"/>
      <c r="W5" s="77"/>
      <c r="X5" s="77"/>
      <c r="Y5" s="77"/>
      <c r="Z5" s="77"/>
      <c r="AA5" s="77"/>
      <c r="AB5" s="77"/>
      <c r="AC5" s="77"/>
      <c r="AD5" s="77"/>
      <c r="AE5" s="77"/>
      <c r="AF5" s="77"/>
      <c r="AG5" s="77"/>
      <c r="AH5" s="77"/>
      <c r="AI5" s="77"/>
      <c r="AJ5" s="77"/>
      <c r="AK5" s="77"/>
    </row>
    <row r="6" spans="1:37">
      <c r="A6" s="77"/>
      <c r="B6" s="77"/>
      <c r="C6" s="77"/>
      <c r="D6" s="77"/>
      <c r="E6" s="77"/>
      <c r="F6" s="77"/>
      <c r="G6" s="77"/>
      <c r="H6" s="77"/>
      <c r="I6" s="77"/>
      <c r="J6" s="77"/>
      <c r="K6" s="883"/>
      <c r="L6" s="883"/>
      <c r="M6" s="883"/>
      <c r="N6" s="883"/>
      <c r="O6" s="883"/>
      <c r="P6" s="883"/>
      <c r="Q6" s="883"/>
      <c r="R6" s="77"/>
      <c r="S6" s="77"/>
      <c r="T6" s="77"/>
      <c r="U6" s="77"/>
      <c r="V6" s="77"/>
      <c r="W6" s="77"/>
      <c r="X6" s="77"/>
      <c r="Y6" s="77"/>
      <c r="Z6" s="77"/>
      <c r="AA6" s="77"/>
      <c r="AB6" s="77"/>
      <c r="AC6" s="77"/>
      <c r="AD6" s="77"/>
      <c r="AE6" s="77"/>
      <c r="AF6" s="77"/>
      <c r="AG6" s="77"/>
      <c r="AH6" s="77"/>
      <c r="AI6" s="77"/>
      <c r="AJ6" s="77"/>
      <c r="AK6" s="77"/>
    </row>
    <row r="7" spans="1:37">
      <c r="A7" s="77"/>
      <c r="B7" s="77"/>
      <c r="C7" s="77"/>
      <c r="D7" s="77"/>
      <c r="E7" s="77"/>
      <c r="F7" s="77"/>
      <c r="G7" s="77"/>
      <c r="H7" s="77"/>
      <c r="I7" s="77"/>
      <c r="J7" s="77"/>
      <c r="K7" s="883"/>
      <c r="L7" s="883"/>
      <c r="M7" s="883"/>
      <c r="N7" s="883"/>
      <c r="O7" s="883"/>
      <c r="P7" s="883"/>
      <c r="Q7" s="883"/>
      <c r="R7" s="77"/>
      <c r="S7" s="77"/>
      <c r="T7" s="77"/>
      <c r="U7" s="77"/>
      <c r="V7" s="77"/>
      <c r="W7" s="77"/>
      <c r="X7" s="77"/>
      <c r="Y7" s="77"/>
      <c r="Z7" s="77"/>
      <c r="AA7" s="77"/>
      <c r="AB7" s="77"/>
      <c r="AC7" s="77"/>
      <c r="AD7" s="77"/>
      <c r="AE7" s="77"/>
      <c r="AF7" s="77"/>
      <c r="AG7" s="77"/>
      <c r="AH7" s="77"/>
      <c r="AI7" s="77"/>
      <c r="AJ7" s="77"/>
      <c r="AK7" s="77"/>
    </row>
    <row r="8" spans="1:37">
      <c r="A8" s="77"/>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row>
    <row r="9" spans="1:37">
      <c r="A9" s="77"/>
      <c r="B9" s="77"/>
      <c r="C9" s="77"/>
      <c r="D9" s="77"/>
      <c r="E9" s="77"/>
      <c r="F9" s="77"/>
      <c r="G9" s="77"/>
      <c r="H9" s="77"/>
      <c r="I9" s="77"/>
      <c r="J9" s="77"/>
      <c r="K9" s="747" t="s">
        <v>800</v>
      </c>
      <c r="L9" s="747" t="s">
        <v>801</v>
      </c>
      <c r="M9" s="748"/>
      <c r="N9" s="748"/>
      <c r="O9" s="748"/>
      <c r="P9" s="748"/>
      <c r="Q9" s="748"/>
      <c r="R9" s="77"/>
      <c r="S9" s="77"/>
      <c r="T9" s="77"/>
      <c r="U9" s="77"/>
      <c r="V9" s="77"/>
      <c r="W9" s="77"/>
      <c r="X9" s="77"/>
      <c r="Y9" s="77"/>
      <c r="Z9" s="77"/>
      <c r="AA9" s="77"/>
      <c r="AB9" s="77"/>
      <c r="AC9" s="77"/>
      <c r="AD9" s="77"/>
      <c r="AE9" s="77"/>
      <c r="AF9" s="77"/>
      <c r="AG9" s="77"/>
      <c r="AH9" s="77"/>
      <c r="AI9" s="77"/>
      <c r="AJ9" s="77"/>
      <c r="AK9" s="77"/>
    </row>
    <row r="10" spans="1:37">
      <c r="A10" s="77"/>
      <c r="B10" s="77"/>
      <c r="C10" s="77"/>
      <c r="D10" s="77"/>
      <c r="E10" s="77"/>
      <c r="F10" s="77"/>
      <c r="G10" s="77"/>
      <c r="H10" s="77"/>
      <c r="I10" s="77"/>
      <c r="J10" s="77"/>
      <c r="K10" s="749" t="s">
        <v>354</v>
      </c>
      <c r="L10" s="749" t="s">
        <v>802</v>
      </c>
      <c r="M10" s="748"/>
      <c r="N10" s="748"/>
      <c r="O10" s="748"/>
      <c r="P10" s="748"/>
      <c r="Q10" s="748"/>
      <c r="R10" s="77"/>
      <c r="S10" s="77"/>
      <c r="T10" s="77"/>
      <c r="U10" s="77"/>
      <c r="V10" s="77"/>
      <c r="W10" s="77"/>
      <c r="X10" s="77"/>
      <c r="Y10" s="77"/>
      <c r="Z10" s="77"/>
      <c r="AA10" s="77"/>
      <c r="AB10" s="77"/>
      <c r="AC10" s="77"/>
      <c r="AD10" s="77"/>
      <c r="AE10" s="77"/>
      <c r="AF10" s="77"/>
      <c r="AG10" s="77"/>
      <c r="AH10" s="77"/>
      <c r="AI10" s="77"/>
      <c r="AJ10" s="77"/>
      <c r="AK10" s="77"/>
    </row>
    <row r="11" spans="1:37" ht="31" customHeight="1">
      <c r="A11" s="77"/>
      <c r="B11" s="77"/>
      <c r="C11" s="77"/>
      <c r="D11" s="77"/>
      <c r="E11" s="77"/>
      <c r="F11" s="77"/>
      <c r="G11" s="77"/>
      <c r="H11" s="77"/>
      <c r="I11" s="77"/>
      <c r="J11" s="77"/>
      <c r="K11" s="749" t="s">
        <v>803</v>
      </c>
      <c r="L11" s="884" t="s">
        <v>804</v>
      </c>
      <c r="M11" s="884"/>
      <c r="N11" s="884"/>
      <c r="O11" s="884"/>
      <c r="P11" s="884"/>
      <c r="Q11" s="884"/>
      <c r="R11" s="884"/>
      <c r="S11" s="77"/>
      <c r="T11" s="77"/>
      <c r="U11" s="77"/>
      <c r="V11" s="77"/>
      <c r="W11" s="77"/>
      <c r="X11" s="77"/>
      <c r="Y11" s="77"/>
      <c r="Z11" s="77"/>
      <c r="AA11" s="77"/>
      <c r="AB11" s="77"/>
      <c r="AC11" s="77"/>
      <c r="AD11" s="77"/>
      <c r="AE11" s="77"/>
      <c r="AF11" s="77"/>
      <c r="AG11" s="77"/>
      <c r="AH11" s="77"/>
      <c r="AI11" s="77"/>
      <c r="AJ11" s="77"/>
      <c r="AK11" s="77"/>
    </row>
    <row r="12" spans="1:37" ht="31" customHeight="1">
      <c r="A12" s="77"/>
      <c r="B12" s="77"/>
      <c r="C12" s="77"/>
      <c r="D12" s="77"/>
      <c r="E12" s="77"/>
      <c r="F12" s="77"/>
      <c r="G12" s="77"/>
      <c r="H12" s="77"/>
      <c r="I12" s="77"/>
      <c r="J12" s="77"/>
      <c r="K12" s="749" t="s">
        <v>805</v>
      </c>
      <c r="L12" s="884" t="s">
        <v>806</v>
      </c>
      <c r="M12" s="884"/>
      <c r="N12" s="884"/>
      <c r="O12" s="884"/>
      <c r="P12" s="884"/>
      <c r="Q12" s="884"/>
      <c r="R12" s="884"/>
      <c r="S12" s="77"/>
      <c r="T12" s="77"/>
      <c r="U12" s="77"/>
      <c r="V12" s="77"/>
      <c r="W12" s="77"/>
      <c r="X12" s="77"/>
      <c r="Y12" s="77"/>
      <c r="Z12" s="77"/>
      <c r="AA12" s="77"/>
      <c r="AB12" s="77"/>
      <c r="AC12" s="77"/>
      <c r="AD12" s="77"/>
      <c r="AE12" s="77"/>
      <c r="AF12" s="77"/>
      <c r="AG12" s="77"/>
      <c r="AH12" s="77"/>
      <c r="AI12" s="77"/>
      <c r="AJ12" s="77"/>
      <c r="AK12" s="77"/>
    </row>
    <row r="13" spans="1:37">
      <c r="A13" s="77"/>
      <c r="B13" s="77"/>
      <c r="C13" s="77"/>
      <c r="D13" s="77"/>
      <c r="E13" s="77"/>
      <c r="F13" s="77"/>
      <c r="G13" s="77"/>
      <c r="H13" s="77"/>
      <c r="I13" s="77"/>
      <c r="J13" s="77"/>
      <c r="K13" s="750"/>
      <c r="L13" s="751"/>
      <c r="M13" s="748"/>
      <c r="N13" s="748"/>
      <c r="O13" s="748"/>
      <c r="P13" s="748"/>
      <c r="Q13" s="748"/>
      <c r="R13" s="77"/>
      <c r="S13" s="77"/>
      <c r="T13" s="77"/>
      <c r="U13" s="77"/>
      <c r="V13" s="77"/>
      <c r="W13" s="77"/>
      <c r="X13" s="77"/>
      <c r="Y13" s="77"/>
      <c r="Z13" s="77"/>
      <c r="AA13" s="77"/>
      <c r="AB13" s="77"/>
      <c r="AC13" s="77"/>
      <c r="AD13" s="77"/>
      <c r="AE13" s="77"/>
      <c r="AF13" s="77"/>
      <c r="AG13" s="77"/>
      <c r="AH13" s="77"/>
      <c r="AI13" s="77"/>
      <c r="AJ13" s="77"/>
      <c r="AK13" s="77"/>
    </row>
    <row r="14" spans="1:37">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row>
    <row r="15" spans="1:37">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row>
    <row r="16" spans="1:37">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row>
    <row r="17" spans="1:37">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row>
    <row r="18" spans="1:37">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row>
    <row r="19" spans="1:37">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row>
    <row r="20" spans="1:37">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row>
    <row r="21" spans="1:37">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row>
    <row r="22" spans="1:37">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row>
    <row r="23" spans="1:37">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row>
    <row r="24" spans="1:37">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row>
    <row r="25" spans="1:37">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row>
    <row r="26" spans="1:37">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row>
    <row r="27" spans="1:37">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row>
    <row r="28" spans="1:37">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row>
    <row r="29" spans="1:37">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row>
    <row r="30" spans="1:37">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row>
    <row r="31" spans="1:37">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row>
    <row r="32" spans="1:37">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row>
    <row r="33" spans="1:37">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row>
    <row r="34" spans="1:37">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row>
    <row r="35" spans="1:37">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row>
    <row r="36" spans="1:37">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row>
    <row r="37" spans="1:37">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row>
    <row r="38" spans="1:37">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row>
    <row r="39" spans="1:37">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row>
    <row r="40" spans="1:37">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row>
    <row r="41" spans="1:37">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row>
    <row r="42" spans="1:37">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row>
    <row r="43" spans="1:37">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row>
    <row r="44" spans="1:37">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row>
    <row r="45" spans="1:37">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row>
    <row r="46" spans="1:37">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row>
    <row r="47" spans="1:37">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row>
    <row r="48" spans="1:37">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row>
    <row r="49" spans="1:37">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row>
    <row r="50" spans="1:37">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row>
  </sheetData>
  <sheetProtection algorithmName="SHA-512" hashValue="elkE/yb058O5Lnyy2oQwabOmdQe5XFmoFsw1VKKtN4bcFD19dP95CD7nVwYnLorlwp9cBqT7nMKoKYzSc8AtyA==" saltValue="A7RQBmaMhwox+6QvGZpDGg==" spinCount="100000" sheet="1" objects="1" scenarios="1" selectLockedCells="1" selectUnlockedCells="1"/>
  <mergeCells count="3">
    <mergeCell ref="K3:Q7"/>
    <mergeCell ref="L11:R11"/>
    <mergeCell ref="L12:R12"/>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T64"/>
  <sheetViews>
    <sheetView workbookViewId="0">
      <selection activeCell="A3" sqref="A3"/>
    </sheetView>
  </sheetViews>
  <sheetFormatPr baseColWidth="10" defaultColWidth="11" defaultRowHeight="16"/>
  <cols>
    <col min="1" max="1" width="55" style="13" customWidth="1"/>
    <col min="2" max="2" width="19" customWidth="1"/>
    <col min="3" max="3" width="11" bestFit="1" customWidth="1"/>
    <col min="4" max="4" width="12" customWidth="1"/>
    <col min="5" max="5" width="11.83203125" customWidth="1"/>
    <col min="6" max="6" width="11" bestFit="1" customWidth="1"/>
    <col min="11" max="11" width="18.83203125" customWidth="1"/>
    <col min="20" max="20" width="19.5" customWidth="1"/>
  </cols>
  <sheetData>
    <row r="1" spans="1:11" ht="30" customHeight="1">
      <c r="A1" s="17" t="s">
        <v>81</v>
      </c>
      <c r="B1" s="16"/>
      <c r="C1" s="16"/>
      <c r="D1" s="16"/>
    </row>
    <row r="2" spans="1:11" ht="34">
      <c r="A2" s="17" t="s">
        <v>658</v>
      </c>
      <c r="B2" s="16"/>
      <c r="C2" s="16"/>
      <c r="D2" s="16"/>
    </row>
    <row r="3" spans="1:11" ht="71">
      <c r="A3" s="13" t="s">
        <v>449</v>
      </c>
    </row>
    <row r="4" spans="1:11" ht="54" customHeight="1">
      <c r="A4" s="13" t="s">
        <v>468</v>
      </c>
    </row>
    <row r="5" spans="1:11" ht="101.5" customHeight="1">
      <c r="A5" s="13" t="s">
        <v>467</v>
      </c>
    </row>
    <row r="6" spans="1:11" ht="95.5" customHeight="1">
      <c r="A6" s="13" t="s">
        <v>532</v>
      </c>
    </row>
    <row r="7" spans="1:11" ht="68">
      <c r="A7" s="13" t="s">
        <v>533</v>
      </c>
    </row>
    <row r="9" spans="1:11">
      <c r="A9" s="395" t="s">
        <v>546</v>
      </c>
    </row>
    <row r="10" spans="1:11" ht="17">
      <c r="A10" s="230" t="s">
        <v>493</v>
      </c>
      <c r="B10" s="231" t="s">
        <v>540</v>
      </c>
      <c r="C10" s="232" t="s">
        <v>458</v>
      </c>
      <c r="D10" s="233" t="s">
        <v>539</v>
      </c>
      <c r="E10" s="231" t="s">
        <v>541</v>
      </c>
      <c r="F10" s="232" t="s">
        <v>459</v>
      </c>
      <c r="G10" s="233" t="s">
        <v>542</v>
      </c>
      <c r="H10" s="231" t="s">
        <v>543</v>
      </c>
      <c r="I10" s="232" t="s">
        <v>460</v>
      </c>
      <c r="J10" s="233" t="s">
        <v>544</v>
      </c>
    </row>
    <row r="11" spans="1:11" ht="19">
      <c r="A11" s="202" t="s">
        <v>450</v>
      </c>
      <c r="B11" s="204">
        <v>28</v>
      </c>
      <c r="C11" s="139">
        <v>34</v>
      </c>
      <c r="D11" s="205">
        <v>37</v>
      </c>
      <c r="E11" s="204">
        <v>26</v>
      </c>
      <c r="F11" s="139">
        <v>30</v>
      </c>
      <c r="G11" s="205">
        <v>33</v>
      </c>
      <c r="H11" s="204">
        <v>32</v>
      </c>
      <c r="I11" s="139">
        <v>33</v>
      </c>
      <c r="J11" s="205">
        <v>34</v>
      </c>
      <c r="K11" t="s">
        <v>279</v>
      </c>
    </row>
    <row r="12" spans="1:11" ht="19">
      <c r="A12" s="202" t="s">
        <v>451</v>
      </c>
      <c r="B12" s="206">
        <v>14</v>
      </c>
      <c r="C12" s="207">
        <v>16</v>
      </c>
      <c r="D12" s="208">
        <v>18</v>
      </c>
      <c r="E12" s="206">
        <v>13</v>
      </c>
      <c r="F12" s="209">
        <v>15</v>
      </c>
      <c r="G12" s="208">
        <v>16</v>
      </c>
      <c r="H12" s="206">
        <v>14</v>
      </c>
      <c r="I12" s="209">
        <v>15</v>
      </c>
      <c r="J12" s="208">
        <v>17</v>
      </c>
      <c r="K12" t="s">
        <v>279</v>
      </c>
    </row>
    <row r="13" spans="1:11">
      <c r="A13" s="121"/>
      <c r="B13" s="201"/>
      <c r="C13" s="30"/>
      <c r="D13" s="201"/>
    </row>
    <row r="14" spans="1:11" ht="17">
      <c r="A14" s="230" t="s">
        <v>455</v>
      </c>
      <c r="B14" s="114" t="s">
        <v>308</v>
      </c>
      <c r="E14" s="114" t="s">
        <v>352</v>
      </c>
      <c r="H14" s="114" t="s">
        <v>353</v>
      </c>
    </row>
    <row r="15" spans="1:11" ht="17">
      <c r="A15" s="202" t="s">
        <v>494</v>
      </c>
      <c r="B15" s="140">
        <v>18</v>
      </c>
      <c r="E15" s="139">
        <v>31</v>
      </c>
      <c r="H15" s="139">
        <v>11</v>
      </c>
      <c r="K15" t="s">
        <v>545</v>
      </c>
    </row>
    <row r="16" spans="1:11" ht="17">
      <c r="A16" s="202" t="s">
        <v>281</v>
      </c>
      <c r="B16" s="141">
        <v>0.08</v>
      </c>
      <c r="E16" s="142">
        <v>0.18</v>
      </c>
      <c r="H16" s="142">
        <v>0.12</v>
      </c>
    </row>
    <row r="17" spans="1:11">
      <c r="B17" s="3"/>
      <c r="C17" s="3"/>
      <c r="D17" s="3"/>
    </row>
    <row r="18" spans="1:11" ht="17">
      <c r="A18" s="15" t="s">
        <v>82</v>
      </c>
      <c r="B18" s="197" t="s">
        <v>41</v>
      </c>
      <c r="C18" s="132" t="s">
        <v>42</v>
      </c>
      <c r="D18" s="133" t="s">
        <v>43</v>
      </c>
    </row>
    <row r="19" spans="1:11" ht="34">
      <c r="A19" s="148" t="s">
        <v>134</v>
      </c>
      <c r="B19" s="70">
        <v>0.1</v>
      </c>
      <c r="C19" s="71">
        <v>0.3</v>
      </c>
      <c r="D19" s="72">
        <v>0.5</v>
      </c>
      <c r="E19" t="s">
        <v>133</v>
      </c>
    </row>
    <row r="20" spans="1:11">
      <c r="B20" s="56"/>
      <c r="C20" s="56"/>
      <c r="D20" s="56"/>
    </row>
    <row r="21" spans="1:11" ht="34">
      <c r="A21" s="230" t="s">
        <v>453</v>
      </c>
      <c r="B21" s="234" t="s">
        <v>308</v>
      </c>
      <c r="C21" s="235"/>
      <c r="D21" s="236"/>
      <c r="E21" s="237" t="s">
        <v>352</v>
      </c>
      <c r="F21" s="238"/>
      <c r="G21" s="239"/>
      <c r="H21" s="240" t="s">
        <v>353</v>
      </c>
      <c r="I21" s="238"/>
      <c r="J21" s="120"/>
    </row>
    <row r="22" spans="1:11" ht="17">
      <c r="A22" s="134" t="s">
        <v>547</v>
      </c>
      <c r="B22" s="682">
        <f>propHomesGasHeating</f>
        <v>0.83559681832152144</v>
      </c>
      <c r="C22" s="149"/>
      <c r="D22" s="212"/>
      <c r="E22" s="682">
        <f>propHomesOilHeating</f>
        <v>5.3641102828713927E-2</v>
      </c>
      <c r="F22" s="149"/>
      <c r="G22" s="212"/>
      <c r="H22" s="682">
        <f>propHomesStorageHeaters+propHomesOtherElectricHeaters</f>
        <v>7.6174004670556419E-2</v>
      </c>
      <c r="I22" s="149"/>
      <c r="J22" s="212"/>
    </row>
    <row r="23" spans="1:11">
      <c r="A23" s="131"/>
      <c r="B23" s="683" t="s">
        <v>41</v>
      </c>
      <c r="C23" s="199" t="s">
        <v>42</v>
      </c>
      <c r="D23" s="200" t="s">
        <v>43</v>
      </c>
      <c r="E23" s="683" t="s">
        <v>41</v>
      </c>
      <c r="F23" s="199" t="s">
        <v>42</v>
      </c>
      <c r="G23" s="200" t="s">
        <v>43</v>
      </c>
      <c r="H23" s="683" t="s">
        <v>41</v>
      </c>
      <c r="I23" s="199" t="s">
        <v>42</v>
      </c>
      <c r="J23" s="200" t="s">
        <v>43</v>
      </c>
    </row>
    <row r="24" spans="1:11" ht="17">
      <c r="A24" s="18" t="s">
        <v>452</v>
      </c>
      <c r="B24" s="669">
        <f>B11*$B15*$B16*B19</f>
        <v>4.032</v>
      </c>
      <c r="C24" s="670">
        <f>C11*$B15*$B16*C19</f>
        <v>14.687999999999999</v>
      </c>
      <c r="D24" s="671">
        <f>D11*$B15*$B16*D19</f>
        <v>26.64</v>
      </c>
      <c r="E24" s="669">
        <f>E11*$E15*$E16*B19</f>
        <v>14.507999999999999</v>
      </c>
      <c r="F24" s="670">
        <f>F11*$E15*$E16*C19</f>
        <v>50.22</v>
      </c>
      <c r="G24" s="671">
        <f>G11*$E15*$E16*D19</f>
        <v>92.07</v>
      </c>
      <c r="H24" s="669">
        <f>H11*$H15*$H16*B19</f>
        <v>4.2239999999999993</v>
      </c>
      <c r="I24" s="670">
        <f>I11*$H15*$H16*C19</f>
        <v>13.067999999999998</v>
      </c>
      <c r="J24" s="671">
        <f>J11*$H15*$H16*D19</f>
        <v>22.439999999999998</v>
      </c>
      <c r="K24" t="s">
        <v>84</v>
      </c>
    </row>
    <row r="25" spans="1:11" ht="17">
      <c r="A25" s="202" t="s">
        <v>454</v>
      </c>
      <c r="B25" s="669">
        <f>B12*$B15*(1-$B16)*B19</f>
        <v>23.184000000000001</v>
      </c>
      <c r="C25" s="670">
        <f>C12*$B15*(1-$B16)*C19</f>
        <v>79.488000000000014</v>
      </c>
      <c r="D25" s="671">
        <f>D12*$B15*(1-$B16)*D19</f>
        <v>149.04000000000002</v>
      </c>
      <c r="E25" s="669">
        <f>E12*$E15*(1-$E16)*B19</f>
        <v>33.046000000000006</v>
      </c>
      <c r="F25" s="670">
        <f>F12*$E15*(1-$E16)*C19</f>
        <v>114.39</v>
      </c>
      <c r="G25" s="671">
        <f>G12*$E15*(1-$E16)*D19</f>
        <v>203.36</v>
      </c>
      <c r="H25" s="669">
        <f>H12*$H15*(1-$H16)*B19</f>
        <v>13.552000000000001</v>
      </c>
      <c r="I25" s="670">
        <f>I12*$H15*(1-$H16)*C19</f>
        <v>43.559999999999995</v>
      </c>
      <c r="J25" s="671">
        <f>J12*$H15*(1-$H16)*D19</f>
        <v>82.28</v>
      </c>
      <c r="K25" t="s">
        <v>84</v>
      </c>
    </row>
    <row r="26" spans="1:11" ht="17">
      <c r="A26" s="202" t="s">
        <v>456</v>
      </c>
      <c r="B26" s="669">
        <f>B24+B25</f>
        <v>27.216000000000001</v>
      </c>
      <c r="C26" s="670">
        <f t="shared" ref="C26:J26" si="0">C24+C25</f>
        <v>94.176000000000016</v>
      </c>
      <c r="D26" s="671">
        <f t="shared" si="0"/>
        <v>175.68</v>
      </c>
      <c r="E26" s="669">
        <f t="shared" si="0"/>
        <v>47.554000000000002</v>
      </c>
      <c r="F26" s="670">
        <f t="shared" si="0"/>
        <v>164.61</v>
      </c>
      <c r="G26" s="671">
        <f t="shared" si="0"/>
        <v>295.43</v>
      </c>
      <c r="H26" s="669">
        <f t="shared" si="0"/>
        <v>17.776</v>
      </c>
      <c r="I26" s="670">
        <f t="shared" si="0"/>
        <v>56.627999999999993</v>
      </c>
      <c r="J26" s="671">
        <f t="shared" si="0"/>
        <v>104.72</v>
      </c>
      <c r="K26" t="s">
        <v>84</v>
      </c>
    </row>
    <row r="27" spans="1:11" ht="17">
      <c r="A27" s="202" t="s">
        <v>457</v>
      </c>
      <c r="B27" s="672">
        <f>B26*gasPriceP/100</f>
        <v>2.8032480000000004</v>
      </c>
      <c r="C27" s="673">
        <f>C26*gasPriceP/100</f>
        <v>9.7001280000000012</v>
      </c>
      <c r="D27" s="674">
        <f>D26*gasPriceP/100</f>
        <v>18.095040000000001</v>
      </c>
      <c r="E27" s="672">
        <f>E26*oilPriceP/100</f>
        <v>4.5945893719806765</v>
      </c>
      <c r="F27" s="673">
        <f>F26*oilPriceP/100</f>
        <v>15.904347826086957</v>
      </c>
      <c r="G27" s="674">
        <f>G26*oilPriceP/100</f>
        <v>28.543961352657007</v>
      </c>
      <c r="H27" s="672">
        <f>H26*electricityPriceDualRateP/100</f>
        <v>6.0438400000000003</v>
      </c>
      <c r="I27" s="673">
        <f>I26*electricityPriceDualRateP/100</f>
        <v>19.253519999999998</v>
      </c>
      <c r="J27" s="674">
        <f>J26*electricityPriceDualRateP/100</f>
        <v>35.604799999999997</v>
      </c>
      <c r="K27" s="6" t="s">
        <v>85</v>
      </c>
    </row>
    <row r="28" spans="1:11">
      <c r="A28" s="121"/>
      <c r="B28" s="210"/>
      <c r="C28" s="210"/>
      <c r="D28" s="210"/>
      <c r="E28" s="203"/>
      <c r="F28" s="123"/>
      <c r="G28" s="123"/>
      <c r="H28" s="123"/>
      <c r="I28" s="123"/>
      <c r="J28" s="123"/>
    </row>
    <row r="29" spans="1:11">
      <c r="A29" s="6"/>
      <c r="B29" s="69"/>
      <c r="C29" s="69"/>
      <c r="D29" s="69"/>
    </row>
    <row r="30" spans="1:11" ht="17">
      <c r="A30" s="15" t="s">
        <v>47</v>
      </c>
      <c r="B30" s="41" t="s">
        <v>41</v>
      </c>
      <c r="C30" s="42" t="s">
        <v>42</v>
      </c>
      <c r="D30" s="43" t="s">
        <v>43</v>
      </c>
    </row>
    <row r="31" spans="1:11" ht="34">
      <c r="A31" s="18" t="s">
        <v>135</v>
      </c>
      <c r="B31" s="70">
        <v>0.4</v>
      </c>
      <c r="C31" s="71">
        <v>0.5</v>
      </c>
      <c r="D31" s="72">
        <v>0.6</v>
      </c>
      <c r="E31" t="s">
        <v>495</v>
      </c>
    </row>
    <row r="32" spans="1:11">
      <c r="B32" s="25"/>
      <c r="C32" s="25"/>
      <c r="D32" s="25"/>
    </row>
    <row r="33" spans="1:20">
      <c r="A33" s="6"/>
      <c r="B33" s="25"/>
      <c r="C33" s="25"/>
      <c r="D33" s="25"/>
    </row>
    <row r="34" spans="1:20" ht="17">
      <c r="A34" s="17" t="s">
        <v>354</v>
      </c>
      <c r="B34" s="907" t="s">
        <v>682</v>
      </c>
      <c r="C34" s="908"/>
      <c r="D34" s="908"/>
      <c r="E34" s="908"/>
      <c r="F34" s="908"/>
      <c r="G34" s="908"/>
      <c r="H34" s="908"/>
      <c r="I34" s="908"/>
      <c r="J34" s="909"/>
      <c r="K34" s="907" t="s">
        <v>689</v>
      </c>
      <c r="L34" s="908"/>
      <c r="M34" s="908"/>
      <c r="N34" s="908"/>
      <c r="O34" s="908"/>
      <c r="P34" s="908"/>
      <c r="Q34" s="908"/>
      <c r="R34" s="908"/>
      <c r="S34" s="909"/>
      <c r="T34" s="551" t="s">
        <v>684</v>
      </c>
    </row>
    <row r="35" spans="1:20">
      <c r="A35" s="11"/>
      <c r="B35" s="675" t="s">
        <v>308</v>
      </c>
      <c r="C35" s="132"/>
      <c r="D35" s="133"/>
      <c r="E35" s="675" t="s">
        <v>352</v>
      </c>
      <c r="F35" s="132"/>
      <c r="G35" s="133"/>
      <c r="H35" s="676" t="s">
        <v>353</v>
      </c>
      <c r="I35" s="677"/>
      <c r="J35" s="678"/>
      <c r="K35" s="675" t="s">
        <v>308</v>
      </c>
      <c r="L35" s="132"/>
      <c r="M35" s="133"/>
      <c r="N35" s="675" t="s">
        <v>352</v>
      </c>
      <c r="O35" s="132"/>
      <c r="P35" s="133"/>
      <c r="Q35" s="676" t="s">
        <v>353</v>
      </c>
      <c r="R35" s="677"/>
      <c r="S35" s="678"/>
      <c r="T35" s="623"/>
    </row>
    <row r="36" spans="1:20">
      <c r="A36" s="225"/>
      <c r="B36" s="450" t="s">
        <v>41</v>
      </c>
      <c r="C36" s="224" t="s">
        <v>42</v>
      </c>
      <c r="D36" s="46" t="s">
        <v>43</v>
      </c>
      <c r="E36" s="450" t="s">
        <v>41</v>
      </c>
      <c r="F36" s="224" t="s">
        <v>42</v>
      </c>
      <c r="G36" s="46" t="s">
        <v>43</v>
      </c>
      <c r="H36" s="450" t="s">
        <v>41</v>
      </c>
      <c r="I36" s="224" t="s">
        <v>42</v>
      </c>
      <c r="J36" s="46" t="s">
        <v>43</v>
      </c>
      <c r="K36" s="450" t="s">
        <v>41</v>
      </c>
      <c r="L36" s="224" t="s">
        <v>42</v>
      </c>
      <c r="M36" s="46" t="s">
        <v>43</v>
      </c>
      <c r="N36" s="450" t="s">
        <v>41</v>
      </c>
      <c r="O36" s="224" t="s">
        <v>42</v>
      </c>
      <c r="P36" s="46" t="s">
        <v>43</v>
      </c>
      <c r="Q36" s="450" t="s">
        <v>41</v>
      </c>
      <c r="R36" s="224" t="s">
        <v>42</v>
      </c>
      <c r="S36" s="46" t="s">
        <v>43</v>
      </c>
      <c r="T36" s="623"/>
    </row>
    <row r="37" spans="1:20" ht="17">
      <c r="A37" s="11" t="s">
        <v>81</v>
      </c>
      <c r="B37" s="246">
        <f t="shared" ref="B37:J37" si="1">B26</f>
        <v>27.216000000000001</v>
      </c>
      <c r="C37" s="263">
        <f t="shared" si="1"/>
        <v>94.176000000000016</v>
      </c>
      <c r="D37" s="264">
        <f t="shared" si="1"/>
        <v>175.68</v>
      </c>
      <c r="E37" s="679">
        <f t="shared" si="1"/>
        <v>47.554000000000002</v>
      </c>
      <c r="F37" s="680">
        <f t="shared" si="1"/>
        <v>164.61</v>
      </c>
      <c r="G37" s="681">
        <f t="shared" si="1"/>
        <v>295.43</v>
      </c>
      <c r="H37" s="524">
        <f t="shared" si="1"/>
        <v>17.776</v>
      </c>
      <c r="I37" s="525">
        <f t="shared" si="1"/>
        <v>56.627999999999993</v>
      </c>
      <c r="J37" s="526">
        <f t="shared" si="1"/>
        <v>104.72</v>
      </c>
      <c r="K37" s="246">
        <f>numberDwellingsUK*propHomesGasHeating*B31/1000</f>
        <v>9410.0966319999989</v>
      </c>
      <c r="L37" s="263">
        <f>numberDwellingsUK*propHomesGasHeating*C31/1000</f>
        <v>11762.620789999999</v>
      </c>
      <c r="M37" s="264">
        <f>numberDwellingsUK*propHomesGasHeating*D31/1000</f>
        <v>14115.144947999999</v>
      </c>
      <c r="N37" s="246">
        <f>numberDwellingsUK*propHomesOilHeating*B31/1000</f>
        <v>604.08076000000005</v>
      </c>
      <c r="O37" s="263">
        <f>numberDwellingsUK*propHomesOilHeating*C31/1000</f>
        <v>755.1009499999999</v>
      </c>
      <c r="P37" s="264">
        <f>numberDwellingsUK*propHomesOilHeating*D31/1000</f>
        <v>906.12113999999985</v>
      </c>
      <c r="Q37" s="246">
        <f>numberDwellingsUK*(propHomesStorageHeaters+propHomesOtherElectricHeaters)*B31/1000</f>
        <v>857.83565600000009</v>
      </c>
      <c r="R37" s="263">
        <f>numberDwellingsUK*(propHomesStorageHeaters+propHomesOtherElectricHeaters)*C31/1000</f>
        <v>1072.29457</v>
      </c>
      <c r="S37" s="264">
        <f>numberDwellingsUK*(propHomesStorageHeaters+propHomesOtherElectricHeaters)*D31/1000</f>
        <v>1286.7534839999998</v>
      </c>
      <c r="T37" s="309" t="s">
        <v>301</v>
      </c>
    </row>
    <row r="38" spans="1:20">
      <c r="A38" s="6"/>
      <c r="B38" s="25"/>
      <c r="C38" s="25"/>
      <c r="D38" s="25"/>
    </row>
    <row r="39" spans="1:20" ht="51">
      <c r="A39" s="6" t="s">
        <v>469</v>
      </c>
      <c r="B39" s="25"/>
      <c r="C39" s="25"/>
      <c r="D39" s="25"/>
    </row>
    <row r="40" spans="1:20" ht="17">
      <c r="A40" s="15" t="s">
        <v>146</v>
      </c>
      <c r="B40" s="16">
        <v>0.08</v>
      </c>
      <c r="C40" s="16"/>
      <c r="D40" s="16"/>
      <c r="E40" s="16"/>
      <c r="F40" s="16"/>
      <c r="G40" s="16"/>
    </row>
    <row r="41" spans="1:20" ht="34">
      <c r="A41" s="13" t="s">
        <v>61</v>
      </c>
      <c r="B41" s="16"/>
      <c r="C41" s="106" t="s">
        <v>62</v>
      </c>
      <c r="D41" s="106" t="s">
        <v>77</v>
      </c>
      <c r="E41" s="106" t="s">
        <v>147</v>
      </c>
      <c r="F41" s="116" t="s">
        <v>156</v>
      </c>
      <c r="G41" s="106" t="s">
        <v>155</v>
      </c>
    </row>
    <row r="42" spans="1:20">
      <c r="B42" s="12" t="s">
        <v>148</v>
      </c>
      <c r="C42" s="107">
        <v>2</v>
      </c>
      <c r="D42" s="108">
        <f>1/C42</f>
        <v>0.5</v>
      </c>
      <c r="E42" s="108">
        <f>D42+$B$40</f>
        <v>0.57999999999999996</v>
      </c>
      <c r="F42" s="109">
        <f>1/E42</f>
        <v>1.7241379310344829</v>
      </c>
      <c r="G42" s="110">
        <f>1-F42/C42</f>
        <v>0.13793103448275856</v>
      </c>
    </row>
    <row r="43" spans="1:20">
      <c r="B43" s="12" t="s">
        <v>79</v>
      </c>
      <c r="C43" s="108">
        <v>4.5999999999999996</v>
      </c>
      <c r="D43" s="109">
        <f>1/C43</f>
        <v>0.21739130434782611</v>
      </c>
      <c r="E43" s="109">
        <f>D43+$B$40</f>
        <v>0.29739130434782612</v>
      </c>
      <c r="F43" s="109">
        <f>1/E43</f>
        <v>3.3625730994152043</v>
      </c>
      <c r="G43" s="110">
        <f>1-F43/C43</f>
        <v>0.26900584795321636</v>
      </c>
    </row>
    <row r="44" spans="1:20">
      <c r="B44" s="12" t="s">
        <v>143</v>
      </c>
      <c r="C44" s="108">
        <v>2.8</v>
      </c>
      <c r="D44" s="109">
        <f>1/C44</f>
        <v>0.35714285714285715</v>
      </c>
      <c r="E44" s="109">
        <f>D44+$B$40</f>
        <v>0.43714285714285717</v>
      </c>
      <c r="F44" s="109">
        <f>1/E44</f>
        <v>2.2875816993464051</v>
      </c>
      <c r="G44" s="110">
        <f>1-F44/C44</f>
        <v>0.18300653594771243</v>
      </c>
    </row>
    <row r="45" spans="1:20">
      <c r="A45" s="6"/>
      <c r="B45" s="25"/>
      <c r="C45" s="25"/>
      <c r="D45" s="25"/>
    </row>
    <row r="46" spans="1:20">
      <c r="A46" s="6"/>
    </row>
    <row r="47" spans="1:20" ht="17">
      <c r="A47" s="80" t="s">
        <v>136</v>
      </c>
      <c r="B47" s="79"/>
      <c r="C47" s="79"/>
      <c r="D47" s="79"/>
      <c r="E47" s="79"/>
      <c r="F47" s="79"/>
      <c r="G47" s="77"/>
    </row>
    <row r="48" spans="1:20" ht="17">
      <c r="A48" s="104" t="s">
        <v>55</v>
      </c>
      <c r="B48" s="81" t="s">
        <v>78</v>
      </c>
      <c r="C48" s="81"/>
      <c r="D48" s="81"/>
      <c r="E48" s="81"/>
      <c r="F48" s="81"/>
      <c r="G48" s="77"/>
    </row>
    <row r="49" spans="1:7" ht="34">
      <c r="A49" s="78"/>
      <c r="B49" s="82"/>
      <c r="C49" s="83" t="s">
        <v>62</v>
      </c>
      <c r="D49" s="83" t="s">
        <v>142</v>
      </c>
      <c r="E49" s="84" t="s">
        <v>137</v>
      </c>
      <c r="F49" s="85" t="s">
        <v>80</v>
      </c>
      <c r="G49" s="77"/>
    </row>
    <row r="50" spans="1:7" ht="17">
      <c r="A50" s="78" t="s">
        <v>58</v>
      </c>
      <c r="B50" s="86" t="s">
        <v>56</v>
      </c>
      <c r="C50" s="87">
        <v>5.2</v>
      </c>
      <c r="D50" s="88">
        <f>1/C50</f>
        <v>0.19230769230769229</v>
      </c>
      <c r="E50" s="88"/>
      <c r="F50" s="89"/>
      <c r="G50" s="77"/>
    </row>
    <row r="51" spans="1:7">
      <c r="A51" s="78"/>
      <c r="B51" s="90" t="s">
        <v>57</v>
      </c>
      <c r="C51" s="87">
        <v>3</v>
      </c>
      <c r="D51" s="88">
        <f>1/C51</f>
        <v>0.33333333333333331</v>
      </c>
      <c r="E51" s="88">
        <f>D51-D50</f>
        <v>0.14102564102564102</v>
      </c>
      <c r="F51" s="91">
        <f>1-$C$51/C50</f>
        <v>0.42307692307692313</v>
      </c>
      <c r="G51" s="77"/>
    </row>
    <row r="52" spans="1:7">
      <c r="A52" s="78"/>
      <c r="B52" s="86"/>
      <c r="C52" s="87"/>
      <c r="D52" s="88"/>
      <c r="E52" s="88"/>
      <c r="F52" s="91"/>
      <c r="G52" s="77"/>
    </row>
    <row r="53" spans="1:7" ht="17">
      <c r="A53" s="78" t="s">
        <v>59</v>
      </c>
      <c r="B53" s="86" t="s">
        <v>143</v>
      </c>
      <c r="C53" s="87">
        <v>2.8</v>
      </c>
      <c r="D53" s="88">
        <f>1/C53</f>
        <v>0.35714285714285715</v>
      </c>
      <c r="E53" s="88"/>
      <c r="F53" s="91"/>
      <c r="G53" s="77"/>
    </row>
    <row r="54" spans="1:7">
      <c r="A54" s="78"/>
      <c r="B54" s="90" t="s">
        <v>57</v>
      </c>
      <c r="C54" s="87">
        <v>1.9</v>
      </c>
      <c r="D54" s="88">
        <f>1/C54</f>
        <v>0.52631578947368418</v>
      </c>
      <c r="E54" s="88">
        <f>D54-D$53</f>
        <v>0.16917293233082703</v>
      </c>
      <c r="F54" s="91">
        <f>1-(C54/$C$53)</f>
        <v>0.3214285714285714</v>
      </c>
      <c r="G54" s="77"/>
    </row>
    <row r="55" spans="1:7" ht="34">
      <c r="A55" s="78"/>
      <c r="B55" s="92" t="s">
        <v>60</v>
      </c>
      <c r="C55" s="87">
        <v>1.8</v>
      </c>
      <c r="D55" s="88">
        <f>1/C55</f>
        <v>0.55555555555555558</v>
      </c>
      <c r="E55" s="88">
        <f>D55-D$53</f>
        <v>0.19841269841269843</v>
      </c>
      <c r="F55" s="91">
        <f>1-(C55/$C$53)</f>
        <v>0.3571428571428571</v>
      </c>
      <c r="G55" s="77"/>
    </row>
    <row r="56" spans="1:7" ht="34">
      <c r="A56" s="78"/>
      <c r="B56" s="93" t="s">
        <v>76</v>
      </c>
      <c r="C56" s="94">
        <v>2.2000000000000002</v>
      </c>
      <c r="D56" s="95">
        <f>1/C56</f>
        <v>0.45454545454545453</v>
      </c>
      <c r="E56" s="95">
        <f>D56-D$53</f>
        <v>9.740259740259738E-2</v>
      </c>
      <c r="F56" s="96">
        <f>1-(C56/$C$53)</f>
        <v>0.21428571428571419</v>
      </c>
      <c r="G56" s="77"/>
    </row>
    <row r="57" spans="1:7">
      <c r="A57" s="78"/>
      <c r="B57" s="79"/>
      <c r="C57" s="79"/>
      <c r="D57" s="79"/>
      <c r="E57" s="79"/>
      <c r="F57" s="79"/>
      <c r="G57" s="77"/>
    </row>
    <row r="58" spans="1:7" ht="17">
      <c r="A58" s="104" t="s">
        <v>145</v>
      </c>
      <c r="B58" s="82" t="s">
        <v>144</v>
      </c>
      <c r="C58" s="83" t="s">
        <v>75</v>
      </c>
      <c r="D58" s="83" t="s">
        <v>140</v>
      </c>
      <c r="E58" s="83" t="s">
        <v>141</v>
      </c>
      <c r="F58" s="85" t="s">
        <v>77</v>
      </c>
      <c r="G58" s="77"/>
    </row>
    <row r="59" spans="1:7" ht="34">
      <c r="A59" s="103" t="s">
        <v>68</v>
      </c>
      <c r="B59" s="97" t="s">
        <v>138</v>
      </c>
      <c r="C59" s="87">
        <v>27.8</v>
      </c>
      <c r="D59" s="98">
        <v>5.0999999999999996</v>
      </c>
      <c r="E59" s="98">
        <f>D59*(1-C59/100)</f>
        <v>3.6821999999999995</v>
      </c>
      <c r="F59" s="99">
        <f>1/E59-1/D59</f>
        <v>7.5498343381673994E-2</v>
      </c>
      <c r="G59" s="77"/>
    </row>
    <row r="60" spans="1:7" ht="34">
      <c r="A60" s="103" t="s">
        <v>69</v>
      </c>
      <c r="B60" s="97" t="s">
        <v>139</v>
      </c>
      <c r="C60" s="87">
        <v>12.3</v>
      </c>
      <c r="D60" s="98">
        <v>4.32</v>
      </c>
      <c r="E60" s="98">
        <f t="shared" ref="E60:E63" si="2">D60*(1-C60/100)</f>
        <v>3.7886400000000005</v>
      </c>
      <c r="F60" s="99">
        <f t="shared" ref="F60:F63" si="3">1/E60-1/D60</f>
        <v>3.2465475737995686E-2</v>
      </c>
      <c r="G60" s="77"/>
    </row>
    <row r="61" spans="1:7" ht="34">
      <c r="A61" s="103" t="s">
        <v>70</v>
      </c>
      <c r="B61" s="97" t="s">
        <v>73</v>
      </c>
      <c r="C61" s="87">
        <v>4.9000000000000004</v>
      </c>
      <c r="D61" s="98">
        <v>4.5</v>
      </c>
      <c r="E61" s="98">
        <f t="shared" si="2"/>
        <v>4.2794999999999996</v>
      </c>
      <c r="F61" s="99">
        <f t="shared" si="3"/>
        <v>1.1449935740156597E-2</v>
      </c>
      <c r="G61" s="77"/>
    </row>
    <row r="62" spans="1:7" ht="34">
      <c r="A62" s="103" t="s">
        <v>71</v>
      </c>
      <c r="B62" s="97" t="s">
        <v>73</v>
      </c>
      <c r="C62" s="87">
        <v>10.3</v>
      </c>
      <c r="D62" s="98">
        <v>4.45</v>
      </c>
      <c r="E62" s="98">
        <f t="shared" si="2"/>
        <v>3.9916500000000004</v>
      </c>
      <c r="F62" s="99">
        <f t="shared" si="3"/>
        <v>2.5803865569376083E-2</v>
      </c>
      <c r="G62" s="77"/>
    </row>
    <row r="63" spans="1:7" ht="51">
      <c r="A63" s="103" t="s">
        <v>72</v>
      </c>
      <c r="B63" s="100" t="s">
        <v>74</v>
      </c>
      <c r="C63" s="94">
        <v>29.1</v>
      </c>
      <c r="D63" s="101">
        <v>4.43</v>
      </c>
      <c r="E63" s="101">
        <f t="shared" si="2"/>
        <v>3.1408699999999996</v>
      </c>
      <c r="F63" s="102">
        <f t="shared" si="3"/>
        <v>9.2649488835895799E-2</v>
      </c>
      <c r="G63" s="77"/>
    </row>
    <row r="64" spans="1:7">
      <c r="A64" s="76"/>
      <c r="B64" s="77"/>
      <c r="C64" s="77"/>
      <c r="D64" s="77"/>
      <c r="E64" s="77"/>
      <c r="F64" s="77"/>
      <c r="G64" s="77"/>
    </row>
  </sheetData>
  <sheetProtection sheet="1" objects="1" scenarios="1"/>
  <mergeCells count="2">
    <mergeCell ref="B34:J34"/>
    <mergeCell ref="K34:S34"/>
  </mergeCells>
  <pageMargins left="0.7" right="0.7" top="0.75" bottom="0.75" header="0.3" footer="0.3"/>
  <ignoredErrors>
    <ignoredError sqref="E43:E44 E42" formula="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T44"/>
  <sheetViews>
    <sheetView workbookViewId="0">
      <selection activeCell="A39" sqref="A39"/>
    </sheetView>
  </sheetViews>
  <sheetFormatPr baseColWidth="10" defaultColWidth="10.5" defaultRowHeight="16"/>
  <cols>
    <col min="1" max="1" width="62.83203125" style="121" customWidth="1"/>
    <col min="2" max="2" width="15.5" style="121" customWidth="1"/>
    <col min="6" max="6" width="10.83203125" style="123"/>
    <col min="11" max="11" width="12.33203125" customWidth="1"/>
    <col min="20" max="20" width="19" customWidth="1"/>
  </cols>
  <sheetData>
    <row r="1" spans="1:11" ht="30" customHeight="1">
      <c r="A1" s="124" t="s">
        <v>192</v>
      </c>
      <c r="B1" s="124"/>
      <c r="C1" s="16"/>
      <c r="D1" s="16"/>
      <c r="E1" s="16"/>
    </row>
    <row r="2" spans="1:11" ht="30" customHeight="1">
      <c r="A2" s="124" t="s">
        <v>659</v>
      </c>
      <c r="B2" s="124"/>
      <c r="C2" s="16"/>
      <c r="D2" s="16"/>
      <c r="E2" s="16"/>
    </row>
    <row r="3" spans="1:11" ht="61" customHeight="1">
      <c r="A3" s="121" t="s">
        <v>278</v>
      </c>
    </row>
    <row r="4" spans="1:11" ht="71">
      <c r="A4" s="121" t="s">
        <v>370</v>
      </c>
    </row>
    <row r="6" spans="1:11" ht="102">
      <c r="A6" s="121" t="s">
        <v>698</v>
      </c>
    </row>
    <row r="7" spans="1:11" ht="159" customHeight="1">
      <c r="A7" s="121" t="s">
        <v>498</v>
      </c>
    </row>
    <row r="9" spans="1:11">
      <c r="A9" s="395" t="s">
        <v>590</v>
      </c>
      <c r="B9"/>
      <c r="F9"/>
    </row>
    <row r="10" spans="1:11" ht="17">
      <c r="A10" s="230" t="s">
        <v>493</v>
      </c>
      <c r="B10" s="231" t="s">
        <v>540</v>
      </c>
      <c r="C10" s="232" t="s">
        <v>458</v>
      </c>
      <c r="D10" s="233" t="s">
        <v>539</v>
      </c>
      <c r="E10" s="231" t="s">
        <v>541</v>
      </c>
      <c r="F10" s="232" t="s">
        <v>459</v>
      </c>
      <c r="G10" s="233" t="s">
        <v>542</v>
      </c>
      <c r="H10" s="231" t="s">
        <v>543</v>
      </c>
      <c r="I10" s="232" t="s">
        <v>460</v>
      </c>
      <c r="J10" s="233" t="s">
        <v>544</v>
      </c>
    </row>
    <row r="11" spans="1:11" ht="19">
      <c r="A11" s="202" t="s">
        <v>496</v>
      </c>
      <c r="B11" s="204">
        <v>38</v>
      </c>
      <c r="C11" s="139">
        <v>50</v>
      </c>
      <c r="D11" s="205">
        <v>52</v>
      </c>
      <c r="E11" s="139">
        <v>35</v>
      </c>
      <c r="F11" s="139">
        <v>42</v>
      </c>
      <c r="G11" s="205">
        <v>45</v>
      </c>
      <c r="H11" s="204">
        <v>36</v>
      </c>
      <c r="I11" s="139">
        <v>46</v>
      </c>
      <c r="J11" s="205">
        <v>48</v>
      </c>
      <c r="K11" t="s">
        <v>279</v>
      </c>
    </row>
    <row r="12" spans="1:11" ht="19">
      <c r="A12" s="202" t="s">
        <v>497</v>
      </c>
      <c r="B12" s="206">
        <v>18</v>
      </c>
      <c r="C12" s="209">
        <v>21</v>
      </c>
      <c r="D12" s="213">
        <v>23</v>
      </c>
      <c r="E12" s="209">
        <v>17</v>
      </c>
      <c r="F12" s="209">
        <v>19</v>
      </c>
      <c r="G12" s="208">
        <v>21</v>
      </c>
      <c r="H12" s="206">
        <v>18</v>
      </c>
      <c r="I12" s="209">
        <v>19</v>
      </c>
      <c r="J12" s="208">
        <v>22</v>
      </c>
      <c r="K12" t="s">
        <v>279</v>
      </c>
    </row>
    <row r="13" spans="1:11">
      <c r="B13" s="201"/>
      <c r="C13" s="201"/>
      <c r="D13" s="30"/>
      <c r="F13"/>
    </row>
    <row r="14" spans="1:11">
      <c r="B14" s="201"/>
      <c r="C14" s="201"/>
      <c r="D14" s="30"/>
      <c r="F14"/>
    </row>
    <row r="15" spans="1:11" ht="17">
      <c r="A15" s="429" t="s">
        <v>455</v>
      </c>
      <c r="B15" s="231" t="s">
        <v>308</v>
      </c>
      <c r="C15" s="232" t="s">
        <v>352</v>
      </c>
      <c r="D15" s="233" t="s">
        <v>353</v>
      </c>
      <c r="F15"/>
    </row>
    <row r="16" spans="1:11" ht="19">
      <c r="A16" s="428" t="s">
        <v>494</v>
      </c>
      <c r="B16" s="430">
        <v>18</v>
      </c>
      <c r="C16" s="139">
        <v>31</v>
      </c>
      <c r="D16" s="205">
        <v>11</v>
      </c>
      <c r="E16" s="123" t="s">
        <v>280</v>
      </c>
      <c r="F16"/>
    </row>
    <row r="17" spans="1:11" ht="17">
      <c r="A17" s="428" t="s">
        <v>281</v>
      </c>
      <c r="B17" s="431">
        <v>0.08</v>
      </c>
      <c r="C17" s="218">
        <v>0.18</v>
      </c>
      <c r="D17" s="432">
        <v>0.12</v>
      </c>
      <c r="F17"/>
    </row>
    <row r="18" spans="1:11">
      <c r="B18" s="130"/>
      <c r="C18" s="123"/>
      <c r="D18" s="123"/>
      <c r="E18" s="123"/>
    </row>
    <row r="19" spans="1:11" ht="17">
      <c r="A19" s="131" t="s">
        <v>254</v>
      </c>
      <c r="B19" s="214" t="s">
        <v>41</v>
      </c>
      <c r="C19" s="215" t="s">
        <v>42</v>
      </c>
      <c r="D19" s="216" t="s">
        <v>43</v>
      </c>
      <c r="E19" s="217"/>
      <c r="F19" s="217"/>
    </row>
    <row r="20" spans="1:11" ht="34">
      <c r="A20" s="202" t="s">
        <v>499</v>
      </c>
      <c r="B20" s="455">
        <v>0.7</v>
      </c>
      <c r="C20" s="456">
        <v>0.9</v>
      </c>
      <c r="D20" s="457">
        <v>1.1000000000000001</v>
      </c>
      <c r="E20" s="168"/>
      <c r="F20" s="14" t="s">
        <v>133</v>
      </c>
    </row>
    <row r="21" spans="1:11">
      <c r="B21" s="122"/>
      <c r="E21" s="123"/>
    </row>
    <row r="22" spans="1:11" ht="17">
      <c r="A22" s="230" t="s">
        <v>591</v>
      </c>
      <c r="B22" s="433" t="s">
        <v>308</v>
      </c>
      <c r="C22" s="434"/>
      <c r="D22" s="435"/>
      <c r="E22" s="434" t="s">
        <v>352</v>
      </c>
      <c r="F22" s="42"/>
      <c r="G22" s="59"/>
      <c r="H22" s="60" t="s">
        <v>353</v>
      </c>
      <c r="I22" s="42"/>
      <c r="J22" s="43"/>
    </row>
    <row r="23" spans="1:11" ht="17">
      <c r="A23" s="134" t="s">
        <v>356</v>
      </c>
      <c r="B23" s="404">
        <f>propHomesGasHeating</f>
        <v>0.83559681832152144</v>
      </c>
      <c r="C23" s="403"/>
      <c r="D23" s="376"/>
      <c r="E23" s="403">
        <f>propHomesOilHeating</f>
        <v>5.3641102828713927E-2</v>
      </c>
      <c r="F23" s="403"/>
      <c r="G23" s="376"/>
      <c r="H23" s="404">
        <f>propHomesStorageHeaters+propHomesOtherElectricHeaters</f>
        <v>7.6174004670556419E-2</v>
      </c>
      <c r="I23" s="420"/>
      <c r="J23" s="341"/>
    </row>
    <row r="24" spans="1:11">
      <c r="A24" s="134"/>
      <c r="B24" s="198" t="s">
        <v>41</v>
      </c>
      <c r="C24" s="199" t="s">
        <v>42</v>
      </c>
      <c r="D24" s="200" t="s">
        <v>43</v>
      </c>
      <c r="E24" s="396" t="s">
        <v>41</v>
      </c>
      <c r="F24" s="199" t="s">
        <v>42</v>
      </c>
      <c r="G24" s="200" t="s">
        <v>43</v>
      </c>
      <c r="H24" s="198" t="s">
        <v>41</v>
      </c>
      <c r="I24" s="199" t="s">
        <v>42</v>
      </c>
      <c r="J24" s="200" t="s">
        <v>43</v>
      </c>
    </row>
    <row r="25" spans="1:11" ht="17">
      <c r="A25" s="18" t="s">
        <v>56</v>
      </c>
      <c r="B25" s="338">
        <f>B11*$B$16*$B$17*B$20</f>
        <v>38.303999999999995</v>
      </c>
      <c r="C25" s="339">
        <f>C11*$B$16*$B$17*C$20</f>
        <v>64.8</v>
      </c>
      <c r="D25" s="340">
        <f>D11*$B$16*$B$17*D$20</f>
        <v>82.367999999999995</v>
      </c>
      <c r="E25" s="339">
        <f>E11*$C$16*$C$17*B$20</f>
        <v>136.70999999999998</v>
      </c>
      <c r="F25" s="339">
        <f>F11*$C$16*$C$17*C$20</f>
        <v>210.92399999999998</v>
      </c>
      <c r="G25" s="340">
        <f>G11*$C$16*$C$17*D$20</f>
        <v>276.21000000000004</v>
      </c>
      <c r="H25" s="338">
        <f>H11*$D$16*$D$17*B$20</f>
        <v>33.263999999999996</v>
      </c>
      <c r="I25" s="339">
        <f>I11*$D$16*$D$17*C$20</f>
        <v>54.648000000000003</v>
      </c>
      <c r="J25" s="340">
        <f>J11*$D$16*$D$17*D$20</f>
        <v>69.695999999999998</v>
      </c>
      <c r="K25" t="s">
        <v>84</v>
      </c>
    </row>
    <row r="26" spans="1:11" ht="17">
      <c r="A26" s="202" t="s">
        <v>500</v>
      </c>
      <c r="B26" s="338">
        <f>B12*$B$16*(1-$B$17)*B$20</f>
        <v>208.65600000000001</v>
      </c>
      <c r="C26" s="339">
        <f>C12*$B$16*(1-$B$17)*C$20</f>
        <v>312.98399999999998</v>
      </c>
      <c r="D26" s="340">
        <f>D12*$B$16*(1-$B$17)*D$20</f>
        <v>418.96800000000002</v>
      </c>
      <c r="E26" s="339">
        <f>E12*$C$16*(1-$C$17)*B$20</f>
        <v>302.49799999999999</v>
      </c>
      <c r="F26" s="339">
        <f>F12*$C$16*(1-$C$17)*C$20</f>
        <v>434.68200000000002</v>
      </c>
      <c r="G26" s="340">
        <f>G12*$C$16*(1-$C$17)*D$20</f>
        <v>587.20200000000011</v>
      </c>
      <c r="H26" s="338">
        <f>H12*$D$16*(1-$D$17)*B$20</f>
        <v>121.968</v>
      </c>
      <c r="I26" s="339">
        <f>I12*$D$16*(1-$D$17)*C$20</f>
        <v>165.52799999999999</v>
      </c>
      <c r="J26" s="340">
        <f>J12*$D$16*(1-$D$17)*D$20</f>
        <v>234.25600000000003</v>
      </c>
      <c r="K26" t="s">
        <v>84</v>
      </c>
    </row>
    <row r="27" spans="1:11" ht="17">
      <c r="A27" s="202" t="s">
        <v>456</v>
      </c>
      <c r="B27" s="338">
        <f>SUM(B25:B26)</f>
        <v>246.96</v>
      </c>
      <c r="C27" s="339">
        <f>SUM(C25:C26)</f>
        <v>377.78399999999999</v>
      </c>
      <c r="D27" s="340">
        <f t="shared" ref="D27:J27" si="0">SUM(D25:D26)</f>
        <v>501.33600000000001</v>
      </c>
      <c r="E27" s="339">
        <f t="shared" si="0"/>
        <v>439.20799999999997</v>
      </c>
      <c r="F27" s="339">
        <f t="shared" si="0"/>
        <v>645.60599999999999</v>
      </c>
      <c r="G27" s="340">
        <f t="shared" si="0"/>
        <v>863.41200000000015</v>
      </c>
      <c r="H27" s="338">
        <f t="shared" si="0"/>
        <v>155.232</v>
      </c>
      <c r="I27" s="339">
        <f t="shared" si="0"/>
        <v>220.17599999999999</v>
      </c>
      <c r="J27" s="340">
        <f t="shared" si="0"/>
        <v>303.952</v>
      </c>
      <c r="K27" t="s">
        <v>84</v>
      </c>
    </row>
    <row r="28" spans="1:11" ht="17">
      <c r="A28" s="202" t="s">
        <v>457</v>
      </c>
      <c r="B28" s="436">
        <f>B27*gasPriceP/100</f>
        <v>25.436880000000002</v>
      </c>
      <c r="C28" s="437">
        <f>C27*gasPriceP/100</f>
        <v>38.911752</v>
      </c>
      <c r="D28" s="438">
        <f>D27*gasPriceP/100</f>
        <v>51.637608000000007</v>
      </c>
      <c r="E28" s="439">
        <f>E27*oilPriceP/100</f>
        <v>42.43555555555556</v>
      </c>
      <c r="F28" s="439">
        <f>F27*oilPriceP/100</f>
        <v>62.377391304347832</v>
      </c>
      <c r="G28" s="440">
        <f>G27*oilPriceP/100</f>
        <v>83.421449275362335</v>
      </c>
      <c r="H28" s="441">
        <f>H27*electricityPriceDualRateP/100</f>
        <v>52.778880000000001</v>
      </c>
      <c r="I28" s="439">
        <f>I27*electricityPriceDualRateP/100</f>
        <v>74.859839999999991</v>
      </c>
      <c r="J28" s="440">
        <f>J27*electricityPriceDualRateP/100</f>
        <v>103.34368000000001</v>
      </c>
      <c r="K28" t="s">
        <v>85</v>
      </c>
    </row>
    <row r="29" spans="1:11">
      <c r="A29" s="122"/>
      <c r="B29" s="203"/>
      <c r="C29" s="220"/>
      <c r="D29" s="220"/>
      <c r="E29" s="203"/>
      <c r="F29" s="220"/>
      <c r="G29" s="220"/>
    </row>
    <row r="30" spans="1:11">
      <c r="C30" s="125"/>
      <c r="D30" s="125"/>
      <c r="E30" s="125"/>
      <c r="F30" s="125"/>
    </row>
    <row r="31" spans="1:11" ht="17">
      <c r="A31" s="230" t="s">
        <v>334</v>
      </c>
      <c r="B31" s="57" t="s">
        <v>41</v>
      </c>
      <c r="C31" s="58" t="s">
        <v>42</v>
      </c>
      <c r="D31" s="59" t="s">
        <v>43</v>
      </c>
      <c r="E31" s="123"/>
    </row>
    <row r="32" spans="1:11" ht="34">
      <c r="A32" s="355" t="s">
        <v>602</v>
      </c>
      <c r="B32" s="611">
        <v>0.8</v>
      </c>
      <c r="C32" s="612">
        <v>0.9</v>
      </c>
      <c r="D32" s="613">
        <v>1</v>
      </c>
      <c r="F32" s="168" t="s">
        <v>133</v>
      </c>
    </row>
    <row r="33" spans="1:20">
      <c r="C33" s="125"/>
      <c r="D33" s="125"/>
      <c r="E33" s="125"/>
      <c r="F33"/>
    </row>
    <row r="34" spans="1:20">
      <c r="C34" s="125"/>
      <c r="D34" s="125"/>
      <c r="E34" s="125"/>
      <c r="F34" s="125"/>
    </row>
    <row r="35" spans="1:20" ht="17">
      <c r="A35" s="17" t="s">
        <v>745</v>
      </c>
      <c r="B35" s="240" t="s">
        <v>308</v>
      </c>
      <c r="C35" s="238"/>
      <c r="D35" s="120"/>
      <c r="E35" s="240" t="s">
        <v>352</v>
      </c>
      <c r="F35" s="238"/>
      <c r="G35" s="120"/>
      <c r="H35" s="240" t="s">
        <v>353</v>
      </c>
      <c r="I35" s="238"/>
      <c r="J35" s="120"/>
    </row>
    <row r="36" spans="1:20">
      <c r="A36" s="17"/>
      <c r="B36" s="354" t="s">
        <v>41</v>
      </c>
      <c r="C36" s="242" t="s">
        <v>42</v>
      </c>
      <c r="D36" s="243" t="s">
        <v>43</v>
      </c>
      <c r="E36" s="354" t="s">
        <v>41</v>
      </c>
      <c r="F36" s="242" t="s">
        <v>42</v>
      </c>
      <c r="G36" s="243" t="s">
        <v>43</v>
      </c>
      <c r="H36" s="354" t="s">
        <v>41</v>
      </c>
      <c r="I36" s="242" t="s">
        <v>42</v>
      </c>
      <c r="J36" s="243" t="s">
        <v>43</v>
      </c>
    </row>
    <row r="37" spans="1:20" ht="17">
      <c r="A37" s="54" t="s">
        <v>348</v>
      </c>
      <c r="B37" s="211">
        <f>numberDwellingsUK*$B23*B32</f>
        <v>18820193.263999999</v>
      </c>
      <c r="C37" s="690">
        <f>numberDwellingsUK*$B23*C32</f>
        <v>21172717.421999998</v>
      </c>
      <c r="D37" s="691">
        <f>numberDwellingsUK*$B23*D32</f>
        <v>23525241.579999998</v>
      </c>
      <c r="E37" s="211">
        <f>numberDwellingsUK*$E23*B32</f>
        <v>1208161.52</v>
      </c>
      <c r="F37" s="690">
        <f>numberDwellingsUK*$E23*C32</f>
        <v>1359181.71</v>
      </c>
      <c r="G37" s="691">
        <f>numberDwellingsUK*$E23*D32</f>
        <v>1510201.9</v>
      </c>
      <c r="H37" s="211">
        <f>numberDwellingsUK*$H23*B32</f>
        <v>1715671.3120000002</v>
      </c>
      <c r="I37" s="690">
        <f>numberDwellingsUK*$H23*C32</f>
        <v>1930130.2260000003</v>
      </c>
      <c r="J37" s="691">
        <f>numberDwellingsUK*$H23*D32</f>
        <v>2144589.14</v>
      </c>
    </row>
    <row r="38" spans="1:20">
      <c r="B38" s="221"/>
      <c r="C38" s="221"/>
      <c r="D38" s="221"/>
      <c r="F38" s="125"/>
    </row>
    <row r="39" spans="1:20">
      <c r="B39" s="123"/>
      <c r="C39" s="123"/>
      <c r="D39" s="123"/>
      <c r="E39" s="2"/>
      <c r="F39" s="2"/>
      <c r="G39" s="2"/>
      <c r="H39" s="123"/>
      <c r="I39" s="123"/>
      <c r="J39" s="123"/>
    </row>
    <row r="40" spans="1:20" ht="17">
      <c r="A40" s="17" t="s">
        <v>354</v>
      </c>
      <c r="B40" s="907" t="s">
        <v>682</v>
      </c>
      <c r="C40" s="908"/>
      <c r="D40" s="908"/>
      <c r="E40" s="908"/>
      <c r="F40" s="908"/>
      <c r="G40" s="908"/>
      <c r="H40" s="908"/>
      <c r="I40" s="908"/>
      <c r="J40" s="909"/>
      <c r="K40" s="907" t="s">
        <v>689</v>
      </c>
      <c r="L40" s="908"/>
      <c r="M40" s="908"/>
      <c r="N40" s="908"/>
      <c r="O40" s="908"/>
      <c r="P40" s="908"/>
      <c r="Q40" s="908"/>
      <c r="R40" s="908"/>
      <c r="S40" s="909"/>
      <c r="T40" s="551" t="s">
        <v>684</v>
      </c>
    </row>
    <row r="41" spans="1:20">
      <c r="A41" s="11"/>
      <c r="B41" s="675" t="s">
        <v>308</v>
      </c>
      <c r="C41" s="132"/>
      <c r="D41" s="133"/>
      <c r="E41" s="675" t="s">
        <v>352</v>
      </c>
      <c r="F41" s="132"/>
      <c r="G41" s="133"/>
      <c r="H41" s="676" t="s">
        <v>353</v>
      </c>
      <c r="I41" s="677"/>
      <c r="J41" s="678"/>
      <c r="K41" s="675" t="s">
        <v>308</v>
      </c>
      <c r="L41" s="132"/>
      <c r="M41" s="133"/>
      <c r="N41" s="675" t="s">
        <v>352</v>
      </c>
      <c r="O41" s="132"/>
      <c r="P41" s="133"/>
      <c r="Q41" s="676" t="s">
        <v>353</v>
      </c>
      <c r="R41" s="677"/>
      <c r="S41" s="678"/>
      <c r="T41" s="623"/>
    </row>
    <row r="42" spans="1:20">
      <c r="A42" s="225"/>
      <c r="B42" s="450" t="s">
        <v>41</v>
      </c>
      <c r="C42" s="224" t="s">
        <v>42</v>
      </c>
      <c r="D42" s="46" t="s">
        <v>43</v>
      </c>
      <c r="E42" s="450" t="s">
        <v>41</v>
      </c>
      <c r="F42" s="224" t="s">
        <v>42</v>
      </c>
      <c r="G42" s="46" t="s">
        <v>43</v>
      </c>
      <c r="H42" s="450" t="s">
        <v>41</v>
      </c>
      <c r="I42" s="224" t="s">
        <v>42</v>
      </c>
      <c r="J42" s="46" t="s">
        <v>43</v>
      </c>
      <c r="K42" s="450" t="s">
        <v>41</v>
      </c>
      <c r="L42" s="224" t="s">
        <v>42</v>
      </c>
      <c r="M42" s="46" t="s">
        <v>43</v>
      </c>
      <c r="N42" s="450" t="s">
        <v>41</v>
      </c>
      <c r="O42" s="224" t="s">
        <v>42</v>
      </c>
      <c r="P42" s="46" t="s">
        <v>43</v>
      </c>
      <c r="Q42" s="450" t="s">
        <v>41</v>
      </c>
      <c r="R42" s="224" t="s">
        <v>42</v>
      </c>
      <c r="S42" s="46" t="s">
        <v>43</v>
      </c>
      <c r="T42" s="623"/>
    </row>
    <row r="43" spans="1:20" ht="17">
      <c r="A43" s="428" t="s">
        <v>501</v>
      </c>
      <c r="B43" s="338">
        <f>B27</f>
        <v>246.96</v>
      </c>
      <c r="C43" s="339">
        <f t="shared" ref="C43:J43" si="1">C27</f>
        <v>377.78399999999999</v>
      </c>
      <c r="D43" s="340">
        <f t="shared" si="1"/>
        <v>501.33600000000001</v>
      </c>
      <c r="E43" s="338">
        <f t="shared" si="1"/>
        <v>439.20799999999997</v>
      </c>
      <c r="F43" s="339">
        <f t="shared" si="1"/>
        <v>645.60599999999999</v>
      </c>
      <c r="G43" s="340">
        <f t="shared" si="1"/>
        <v>863.41200000000015</v>
      </c>
      <c r="H43" s="338">
        <f t="shared" si="1"/>
        <v>155.232</v>
      </c>
      <c r="I43" s="339">
        <f t="shared" si="1"/>
        <v>220.17599999999999</v>
      </c>
      <c r="J43" s="340">
        <f t="shared" si="1"/>
        <v>303.952</v>
      </c>
      <c r="K43" s="684">
        <f t="shared" ref="K43:S43" si="2">B37/1000</f>
        <v>18820.193263999998</v>
      </c>
      <c r="L43" s="685">
        <f t="shared" si="2"/>
        <v>21172.717421999998</v>
      </c>
      <c r="M43" s="686">
        <f t="shared" si="2"/>
        <v>23525.241579999998</v>
      </c>
      <c r="N43" s="684">
        <f t="shared" si="2"/>
        <v>1208.1615200000001</v>
      </c>
      <c r="O43" s="685">
        <f t="shared" si="2"/>
        <v>1359.1817100000001</v>
      </c>
      <c r="P43" s="686">
        <f t="shared" si="2"/>
        <v>1510.2018999999998</v>
      </c>
      <c r="Q43" s="684">
        <f t="shared" si="2"/>
        <v>1715.6713120000002</v>
      </c>
      <c r="R43" s="685">
        <f t="shared" si="2"/>
        <v>1930.1302260000002</v>
      </c>
      <c r="S43" s="686">
        <f t="shared" si="2"/>
        <v>2144.58914</v>
      </c>
      <c r="T43" s="405" t="s">
        <v>193</v>
      </c>
    </row>
    <row r="44" spans="1:20" ht="17">
      <c r="A44" s="428" t="s">
        <v>744</v>
      </c>
      <c r="B44" s="679">
        <f>B25</f>
        <v>38.303999999999995</v>
      </c>
      <c r="C44" s="680">
        <f t="shared" ref="C44:J44" si="3">C25</f>
        <v>64.8</v>
      </c>
      <c r="D44" s="681">
        <f t="shared" si="3"/>
        <v>82.367999999999995</v>
      </c>
      <c r="E44" s="679">
        <f t="shared" si="3"/>
        <v>136.70999999999998</v>
      </c>
      <c r="F44" s="680">
        <f t="shared" si="3"/>
        <v>210.92399999999998</v>
      </c>
      <c r="G44" s="681">
        <f t="shared" si="3"/>
        <v>276.21000000000004</v>
      </c>
      <c r="H44" s="679">
        <f t="shared" si="3"/>
        <v>33.263999999999996</v>
      </c>
      <c r="I44" s="680">
        <f t="shared" si="3"/>
        <v>54.648000000000003</v>
      </c>
      <c r="J44" s="681">
        <f t="shared" si="3"/>
        <v>69.695999999999998</v>
      </c>
      <c r="K44" s="687">
        <f t="shared" ref="K44:S44" si="4">K43</f>
        <v>18820.193263999998</v>
      </c>
      <c r="L44" s="688">
        <f t="shared" si="4"/>
        <v>21172.717421999998</v>
      </c>
      <c r="M44" s="689">
        <f t="shared" si="4"/>
        <v>23525.241579999998</v>
      </c>
      <c r="N44" s="687">
        <f t="shared" si="4"/>
        <v>1208.1615200000001</v>
      </c>
      <c r="O44" s="688">
        <f t="shared" si="4"/>
        <v>1359.1817100000001</v>
      </c>
      <c r="P44" s="689">
        <f t="shared" si="4"/>
        <v>1510.2018999999998</v>
      </c>
      <c r="Q44" s="687">
        <f t="shared" si="4"/>
        <v>1715.6713120000002</v>
      </c>
      <c r="R44" s="688">
        <f t="shared" si="4"/>
        <v>1930.1302260000002</v>
      </c>
      <c r="S44" s="689">
        <f t="shared" si="4"/>
        <v>2144.58914</v>
      </c>
      <c r="T44" s="309" t="s">
        <v>193</v>
      </c>
    </row>
  </sheetData>
  <sheetProtection sheet="1" objects="1" scenarios="1"/>
  <mergeCells count="2">
    <mergeCell ref="B40:J40"/>
    <mergeCell ref="K40:S4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T56"/>
  <sheetViews>
    <sheetView workbookViewId="0">
      <selection activeCell="N18" sqref="N12:N18"/>
    </sheetView>
  </sheetViews>
  <sheetFormatPr baseColWidth="10" defaultColWidth="10.5" defaultRowHeight="16"/>
  <cols>
    <col min="1" max="1" width="56.5" style="13" customWidth="1"/>
    <col min="11" max="11" width="13" customWidth="1"/>
    <col min="16" max="16" width="11.5" customWidth="1"/>
    <col min="17" max="18" width="15.5" customWidth="1"/>
    <col min="20" max="20" width="19.5" customWidth="1"/>
  </cols>
  <sheetData>
    <row r="1" spans="1:15" ht="17">
      <c r="A1" s="153" t="s">
        <v>346</v>
      </c>
      <c r="B1" s="154"/>
      <c r="C1" s="154"/>
      <c r="D1" s="154"/>
      <c r="E1" s="154"/>
      <c r="F1" s="154"/>
      <c r="G1" s="154"/>
      <c r="H1" s="154"/>
      <c r="I1" s="154"/>
      <c r="J1" s="16"/>
      <c r="K1" s="16"/>
      <c r="L1" s="16"/>
      <c r="M1" s="16"/>
      <c r="N1" s="16"/>
      <c r="O1" s="16"/>
    </row>
    <row r="2" spans="1:15" ht="34">
      <c r="A2" s="153" t="s">
        <v>660</v>
      </c>
      <c r="B2" s="154"/>
      <c r="C2" s="154"/>
      <c r="D2" s="154"/>
      <c r="E2" s="154"/>
      <c r="F2" s="154"/>
      <c r="G2" s="154"/>
      <c r="H2" s="154"/>
      <c r="I2" s="154"/>
      <c r="J2" s="16"/>
      <c r="K2" s="16"/>
      <c r="L2" s="16"/>
      <c r="M2" s="16"/>
      <c r="N2" s="16"/>
      <c r="O2" s="16"/>
    </row>
    <row r="3" spans="1:15" ht="85">
      <c r="A3" s="13" t="s">
        <v>566</v>
      </c>
    </row>
    <row r="4" spans="1:15" ht="68">
      <c r="A4" s="13" t="s">
        <v>377</v>
      </c>
    </row>
    <row r="5" spans="1:15" ht="102">
      <c r="A5" s="13" t="s">
        <v>528</v>
      </c>
    </row>
    <row r="6" spans="1:15" ht="176.25" customHeight="1">
      <c r="A6" s="13" t="s">
        <v>865</v>
      </c>
    </row>
    <row r="7" spans="1:15" ht="79" customHeight="1">
      <c r="A7" s="13" t="s">
        <v>567</v>
      </c>
    </row>
    <row r="8" spans="1:15" ht="81" customHeight="1">
      <c r="A8" s="13" t="s">
        <v>592</v>
      </c>
    </row>
    <row r="9" spans="1:15" ht="18" customHeight="1"/>
    <row r="10" spans="1:15" ht="17">
      <c r="A10" s="15" t="s">
        <v>529</v>
      </c>
      <c r="B10" s="240" t="s">
        <v>308</v>
      </c>
      <c r="C10" s="266"/>
      <c r="D10" s="267"/>
      <c r="E10" s="267"/>
      <c r="F10" s="268"/>
      <c r="G10" s="240" t="s">
        <v>347</v>
      </c>
      <c r="H10" s="266"/>
      <c r="I10" s="266"/>
      <c r="J10" s="266"/>
      <c r="K10" s="239"/>
      <c r="L10" s="240" t="s">
        <v>352</v>
      </c>
      <c r="M10" s="120"/>
      <c r="N10" s="551" t="s">
        <v>308</v>
      </c>
    </row>
    <row r="11" spans="1:15" ht="34">
      <c r="A11" s="15"/>
      <c r="B11" s="379" t="s">
        <v>348</v>
      </c>
      <c r="C11" s="380" t="s">
        <v>375</v>
      </c>
      <c r="D11" s="381" t="s">
        <v>41</v>
      </c>
      <c r="E11" s="381" t="s">
        <v>42</v>
      </c>
      <c r="F11" s="382" t="s">
        <v>43</v>
      </c>
      <c r="G11" s="379" t="s">
        <v>348</v>
      </c>
      <c r="H11" s="380" t="s">
        <v>375</v>
      </c>
      <c r="I11" s="381" t="s">
        <v>41</v>
      </c>
      <c r="J11" s="381" t="s">
        <v>42</v>
      </c>
      <c r="K11" s="382" t="s">
        <v>43</v>
      </c>
      <c r="L11" s="379" t="s">
        <v>348</v>
      </c>
      <c r="M11" s="445" t="s">
        <v>375</v>
      </c>
      <c r="N11" s="785" t="s">
        <v>855</v>
      </c>
    </row>
    <row r="12" spans="1:15" ht="17">
      <c r="A12" s="18" t="s">
        <v>568</v>
      </c>
      <c r="B12" s="383">
        <v>224576.95</v>
      </c>
      <c r="C12" s="384">
        <v>53</v>
      </c>
      <c r="D12" s="385">
        <v>83</v>
      </c>
      <c r="E12" s="385">
        <v>95.2</v>
      </c>
      <c r="F12" s="386">
        <v>105.8</v>
      </c>
      <c r="G12" s="383">
        <v>18483.32</v>
      </c>
      <c r="H12" s="384">
        <v>47.9</v>
      </c>
      <c r="I12" s="385">
        <v>70.3</v>
      </c>
      <c r="J12" s="385">
        <v>79.599999999999994</v>
      </c>
      <c r="K12" s="386">
        <v>89.9</v>
      </c>
      <c r="L12" s="383">
        <v>21989.49</v>
      </c>
      <c r="M12" s="391">
        <v>66</v>
      </c>
      <c r="N12" s="787">
        <v>0.28000000000000003</v>
      </c>
    </row>
    <row r="13" spans="1:15" ht="17">
      <c r="A13" s="18" t="s">
        <v>569</v>
      </c>
      <c r="B13" s="383">
        <v>754335.33</v>
      </c>
      <c r="C13" s="384">
        <v>50</v>
      </c>
      <c r="D13" s="385">
        <v>22.5</v>
      </c>
      <c r="E13" s="385">
        <v>27.7</v>
      </c>
      <c r="F13" s="386">
        <v>31.3</v>
      </c>
      <c r="G13" s="383">
        <v>72639.429999999993</v>
      </c>
      <c r="H13" s="384">
        <v>51.1</v>
      </c>
      <c r="I13" s="385">
        <v>21.6</v>
      </c>
      <c r="J13" s="385">
        <v>23.8</v>
      </c>
      <c r="K13" s="386">
        <v>25.6</v>
      </c>
      <c r="L13" s="383">
        <v>35926.21</v>
      </c>
      <c r="M13" s="391">
        <v>89</v>
      </c>
      <c r="N13" s="787">
        <v>0.11</v>
      </c>
    </row>
    <row r="14" spans="1:15" ht="17">
      <c r="A14" s="18" t="s">
        <v>570</v>
      </c>
      <c r="B14" s="383">
        <v>3768232.53</v>
      </c>
      <c r="C14" s="384">
        <v>52.51</v>
      </c>
      <c r="D14" s="385">
        <v>10</v>
      </c>
      <c r="E14" s="385">
        <v>13.1</v>
      </c>
      <c r="F14" s="386">
        <v>14.7</v>
      </c>
      <c r="G14" s="383">
        <v>171863.06</v>
      </c>
      <c r="H14" s="384">
        <v>43.6</v>
      </c>
      <c r="I14" s="385">
        <v>9.4</v>
      </c>
      <c r="J14" s="385">
        <v>10.9</v>
      </c>
      <c r="K14" s="386">
        <v>12.1</v>
      </c>
      <c r="L14" s="383">
        <v>175835.07</v>
      </c>
      <c r="M14" s="391">
        <v>94</v>
      </c>
      <c r="N14" s="788">
        <v>5.8000000000000003E-2</v>
      </c>
    </row>
    <row r="15" spans="1:15" ht="17">
      <c r="A15" s="269" t="s">
        <v>349</v>
      </c>
      <c r="B15" s="383">
        <v>3164104.44</v>
      </c>
      <c r="C15" s="384">
        <v>51.8</v>
      </c>
      <c r="D15" s="385">
        <v>6.8</v>
      </c>
      <c r="E15" s="385">
        <v>8</v>
      </c>
      <c r="F15" s="386">
        <v>9</v>
      </c>
      <c r="G15" s="383">
        <v>182021.82</v>
      </c>
      <c r="H15" s="384">
        <v>51.8</v>
      </c>
      <c r="I15" s="385">
        <v>6.2</v>
      </c>
      <c r="J15" s="385">
        <v>6.9</v>
      </c>
      <c r="K15" s="386">
        <v>7.8</v>
      </c>
      <c r="L15" s="383">
        <v>151126.68</v>
      </c>
      <c r="M15" s="391">
        <v>80.400000000000006</v>
      </c>
      <c r="N15" s="788">
        <v>3.7999999999999999E-2</v>
      </c>
    </row>
    <row r="16" spans="1:15" ht="17">
      <c r="A16" s="269" t="s">
        <v>350</v>
      </c>
      <c r="B16" s="383">
        <v>2762323.83</v>
      </c>
      <c r="C16" s="384">
        <v>49.8</v>
      </c>
      <c r="D16" s="385">
        <v>2.9</v>
      </c>
      <c r="E16" s="385">
        <v>3.3</v>
      </c>
      <c r="F16" s="386">
        <v>3.7</v>
      </c>
      <c r="G16" s="383">
        <v>151166.45000000001</v>
      </c>
      <c r="H16" s="384">
        <v>48.6</v>
      </c>
      <c r="I16" s="385">
        <v>2.6</v>
      </c>
      <c r="J16" s="385">
        <v>2.9</v>
      </c>
      <c r="K16" s="386">
        <v>3.3</v>
      </c>
      <c r="L16" s="383">
        <v>112846.89</v>
      </c>
      <c r="M16" s="391">
        <v>89.3</v>
      </c>
      <c r="N16" s="788">
        <v>1.6E-2</v>
      </c>
    </row>
    <row r="17" spans="1:19" ht="17">
      <c r="A17" s="269" t="s">
        <v>351</v>
      </c>
      <c r="B17" s="383">
        <v>2665424.0499999998</v>
      </c>
      <c r="C17" s="384">
        <v>50.7</v>
      </c>
      <c r="D17" s="385">
        <v>1.3</v>
      </c>
      <c r="E17" s="385">
        <v>1.4</v>
      </c>
      <c r="F17" s="386">
        <v>1.6</v>
      </c>
      <c r="G17" s="383">
        <v>144042.72</v>
      </c>
      <c r="H17" s="384">
        <v>45.3</v>
      </c>
      <c r="I17" s="385">
        <v>1.1000000000000001</v>
      </c>
      <c r="J17" s="385">
        <v>1.2</v>
      </c>
      <c r="K17" s="386">
        <v>1.4</v>
      </c>
      <c r="L17" s="383">
        <v>89915.77</v>
      </c>
      <c r="M17" s="391">
        <v>86.6</v>
      </c>
      <c r="N17" s="788">
        <v>7.0000000000000001E-3</v>
      </c>
    </row>
    <row r="18" spans="1:19" ht="17">
      <c r="A18" s="18" t="s">
        <v>391</v>
      </c>
      <c r="B18" s="387">
        <v>2474442.88</v>
      </c>
      <c r="C18" s="388">
        <v>51.6</v>
      </c>
      <c r="D18" s="389"/>
      <c r="E18" s="389"/>
      <c r="F18" s="390"/>
      <c r="G18" s="387">
        <v>125777.2</v>
      </c>
      <c r="H18" s="388">
        <v>52.7</v>
      </c>
      <c r="I18" s="389"/>
      <c r="J18" s="389"/>
      <c r="K18" s="390"/>
      <c r="L18" s="387">
        <v>106033.9</v>
      </c>
      <c r="M18" s="392">
        <v>79.8</v>
      </c>
      <c r="N18" s="789"/>
    </row>
    <row r="19" spans="1:19" ht="54" customHeight="1">
      <c r="A19" s="13" t="s">
        <v>530</v>
      </c>
    </row>
    <row r="20" spans="1:19" ht="17">
      <c r="A20" s="15" t="s">
        <v>374</v>
      </c>
      <c r="B20" s="60" t="s">
        <v>308</v>
      </c>
      <c r="C20" s="58" t="s">
        <v>352</v>
      </c>
      <c r="D20" s="59" t="s">
        <v>347</v>
      </c>
    </row>
    <row r="21" spans="1:19" ht="17">
      <c r="A21" s="18" t="s">
        <v>375</v>
      </c>
      <c r="B21" s="393">
        <v>54.4</v>
      </c>
      <c r="C21" s="388">
        <v>87.9</v>
      </c>
      <c r="D21" s="392">
        <v>50.6</v>
      </c>
    </row>
    <row r="24" spans="1:19" ht="34" customHeight="1">
      <c r="A24" s="15" t="s">
        <v>746</v>
      </c>
      <c r="B24" s="240" t="s">
        <v>308</v>
      </c>
      <c r="C24" s="266"/>
      <c r="D24" s="266"/>
      <c r="E24" s="921" t="s">
        <v>378</v>
      </c>
      <c r="F24" s="240" t="s">
        <v>352</v>
      </c>
      <c r="G24" s="266"/>
      <c r="H24" s="266"/>
      <c r="I24" s="921" t="s">
        <v>378</v>
      </c>
      <c r="J24" s="240" t="s">
        <v>353</v>
      </c>
      <c r="K24" s="266"/>
      <c r="L24" s="266"/>
      <c r="M24" s="921" t="s">
        <v>378</v>
      </c>
      <c r="N24" s="919" t="s">
        <v>379</v>
      </c>
      <c r="P24" s="45"/>
      <c r="Q24" s="45" t="s">
        <v>384</v>
      </c>
      <c r="R24" s="45"/>
      <c r="S24" s="45"/>
    </row>
    <row r="25" spans="1:19" ht="16" customHeight="1">
      <c r="A25" s="15"/>
      <c r="B25" s="375" t="s">
        <v>41</v>
      </c>
      <c r="C25" s="242" t="s">
        <v>42</v>
      </c>
      <c r="D25" s="242" t="s">
        <v>43</v>
      </c>
      <c r="E25" s="922"/>
      <c r="F25" s="375" t="s">
        <v>41</v>
      </c>
      <c r="G25" s="242" t="s">
        <v>42</v>
      </c>
      <c r="H25" s="242" t="s">
        <v>43</v>
      </c>
      <c r="I25" s="922"/>
      <c r="J25" s="375" t="s">
        <v>41</v>
      </c>
      <c r="K25" s="242" t="s">
        <v>42</v>
      </c>
      <c r="L25" s="242" t="s">
        <v>43</v>
      </c>
      <c r="M25" s="922"/>
      <c r="N25" s="920"/>
      <c r="P25" s="45"/>
      <c r="Q25" s="45" t="s">
        <v>308</v>
      </c>
      <c r="R25" s="45" t="s">
        <v>352</v>
      </c>
      <c r="S25" s="45" t="s">
        <v>353</v>
      </c>
    </row>
    <row r="26" spans="1:19" ht="17">
      <c r="A26" s="18" t="str">
        <f t="shared" ref="A26:A31" si="0">A12</f>
        <v>None to 300mm</v>
      </c>
      <c r="B26" s="338">
        <f t="shared" ref="B26:B31" si="1">$B$21*D12</f>
        <v>4515.2</v>
      </c>
      <c r="C26" s="339">
        <f t="shared" ref="C26:D26" si="2">$B$21*E12</f>
        <v>5178.88</v>
      </c>
      <c r="D26" s="339">
        <f t="shared" si="2"/>
        <v>5755.5199999999995</v>
      </c>
      <c r="E26" s="376">
        <f t="shared" ref="E26:E31" si="3">B12/numGasHeatingEngland*propHomesGasHeating</f>
        <v>9.2852936609773094E-3</v>
      </c>
      <c r="F26" s="338">
        <f t="shared" ref="F26:F31" si="4">$C$21*D12</f>
        <v>7295.7000000000007</v>
      </c>
      <c r="G26" s="339">
        <f t="shared" ref="G26:H26" si="5">$C$21*E12</f>
        <v>8368.08</v>
      </c>
      <c r="H26" s="339">
        <f t="shared" si="5"/>
        <v>9299.82</v>
      </c>
      <c r="I26" s="376">
        <f t="shared" ref="I26:I31" si="6">L12/numOilHeatingEngland*propHomesOilHeating</f>
        <v>1.6731070840297541E-3</v>
      </c>
      <c r="J26" s="338">
        <f t="shared" ref="J26:J31" si="7">$D$21*I12</f>
        <v>3557.18</v>
      </c>
      <c r="K26" s="339">
        <f t="shared" ref="K26:L26" si="8">$D$21*J12</f>
        <v>4027.7599999999998</v>
      </c>
      <c r="L26" s="339">
        <f t="shared" si="8"/>
        <v>4548.9400000000005</v>
      </c>
      <c r="M26" s="376">
        <f t="shared" ref="M26:M31" si="9">G12/(numStorageHeatersEngland+numOtherElectricHeatersEngland)*(propHomesStorageHeaters+propHomesOtherElectricHeaters)</f>
        <v>8.0963111213765886E-4</v>
      </c>
      <c r="N26" s="377">
        <f t="shared" ref="N26:N31" si="10">E26+I26+M26</f>
        <v>1.1768031857144721E-2</v>
      </c>
      <c r="P26" s="45" t="s">
        <v>385</v>
      </c>
      <c r="Q26" s="176">
        <f>B12/SUM(B$12:B$18)</f>
        <v>1.4201650612262957E-2</v>
      </c>
      <c r="R26" s="176">
        <f>L12/SUM(L$12:L$18)</f>
        <v>3.1700034429717208E-2</v>
      </c>
      <c r="S26" s="176">
        <f>G12/SUM(G$12:G$18)</f>
        <v>2.1343473511363821E-2</v>
      </c>
    </row>
    <row r="27" spans="1:19" ht="17">
      <c r="A27" s="18" t="str">
        <f t="shared" si="0"/>
        <v>0- 50, to 300mm</v>
      </c>
      <c r="B27" s="338">
        <f t="shared" si="1"/>
        <v>1224</v>
      </c>
      <c r="C27" s="339">
        <f t="shared" ref="C27:D27" si="11">$B$21*E13</f>
        <v>1506.8799999999999</v>
      </c>
      <c r="D27" s="339">
        <f t="shared" si="11"/>
        <v>1702.72</v>
      </c>
      <c r="E27" s="376">
        <f t="shared" si="3"/>
        <v>3.1188530514374813E-2</v>
      </c>
      <c r="F27" s="338">
        <f t="shared" si="4"/>
        <v>1977.7500000000002</v>
      </c>
      <c r="G27" s="339">
        <f t="shared" ref="G27:H27" si="12">$C$21*E13</f>
        <v>2434.83</v>
      </c>
      <c r="H27" s="339">
        <f t="shared" si="12"/>
        <v>2751.2700000000004</v>
      </c>
      <c r="I27" s="376">
        <f t="shared" si="6"/>
        <v>2.7335057090155613E-3</v>
      </c>
      <c r="J27" s="338">
        <f t="shared" si="7"/>
        <v>1092.96</v>
      </c>
      <c r="K27" s="339">
        <f t="shared" ref="K27:L27" si="13">$D$21*J13</f>
        <v>1204.28</v>
      </c>
      <c r="L27" s="339">
        <f t="shared" si="13"/>
        <v>1295.3600000000001</v>
      </c>
      <c r="M27" s="376">
        <f t="shared" si="9"/>
        <v>3.1818494997622516E-3</v>
      </c>
      <c r="N27" s="377">
        <f t="shared" si="10"/>
        <v>3.7103885723152624E-2</v>
      </c>
      <c r="P27" s="45" t="s">
        <v>386</v>
      </c>
      <c r="Q27" s="176">
        <f t="shared" ref="Q27:Q32" si="14">B13/SUM(B$12:B$18)</f>
        <v>4.7702165343086536E-2</v>
      </c>
      <c r="R27" s="176">
        <f>L13/SUM(L$12:L$18)</f>
        <v>5.1791200884115582E-2</v>
      </c>
      <c r="S27" s="176">
        <f t="shared" ref="S27:S32" si="15">G13/SUM(G$12:G$18)</f>
        <v>8.3879830576193359E-2</v>
      </c>
    </row>
    <row r="28" spans="1:19" ht="17">
      <c r="A28" s="18" t="str">
        <f t="shared" si="0"/>
        <v>50-100 to 300mm</v>
      </c>
      <c r="B28" s="338">
        <f t="shared" si="1"/>
        <v>544</v>
      </c>
      <c r="C28" s="339">
        <f t="shared" ref="C28:D28" si="16">$B$21*E14</f>
        <v>712.64</v>
      </c>
      <c r="D28" s="339">
        <f t="shared" si="16"/>
        <v>799.68</v>
      </c>
      <c r="E28" s="376">
        <f t="shared" si="3"/>
        <v>0.15580025298187317</v>
      </c>
      <c r="F28" s="338">
        <f t="shared" si="4"/>
        <v>879</v>
      </c>
      <c r="G28" s="339">
        <f t="shared" ref="G28:H28" si="17">$C$21*E14</f>
        <v>1151.49</v>
      </c>
      <c r="H28" s="339">
        <f t="shared" si="17"/>
        <v>1292.1300000000001</v>
      </c>
      <c r="I28" s="376">
        <f t="shared" si="6"/>
        <v>1.3378705064913635E-2</v>
      </c>
      <c r="J28" s="338">
        <f t="shared" si="7"/>
        <v>475.64000000000004</v>
      </c>
      <c r="K28" s="339">
        <f t="shared" ref="K28:L28" si="18">$D$21*J14</f>
        <v>551.54000000000008</v>
      </c>
      <c r="L28" s="339">
        <f t="shared" si="18"/>
        <v>612.26</v>
      </c>
      <c r="M28" s="376">
        <f t="shared" si="9"/>
        <v>7.528175695880459E-3</v>
      </c>
      <c r="N28" s="377">
        <f t="shared" si="10"/>
        <v>0.17670713374266725</v>
      </c>
      <c r="P28" s="45" t="s">
        <v>387</v>
      </c>
      <c r="Q28" s="176">
        <f t="shared" si="14"/>
        <v>0.23829302970239682</v>
      </c>
      <c r="R28" s="176">
        <f t="shared" ref="R28:R32" si="19">L14/SUM(L$12:L$18)</f>
        <v>0.2534837221305149</v>
      </c>
      <c r="S28" s="176">
        <f t="shared" si="15"/>
        <v>0.19845756437111572</v>
      </c>
    </row>
    <row r="29" spans="1:19" ht="17">
      <c r="A29" s="18" t="str">
        <f t="shared" si="0"/>
        <v>100-150 to 300mm</v>
      </c>
      <c r="B29" s="338">
        <f t="shared" si="1"/>
        <v>369.91999999999996</v>
      </c>
      <c r="C29" s="339">
        <f t="shared" ref="C29:D29" si="20">$B$21*E15</f>
        <v>435.2</v>
      </c>
      <c r="D29" s="339">
        <f t="shared" si="20"/>
        <v>489.59999999999997</v>
      </c>
      <c r="E29" s="376">
        <f t="shared" si="3"/>
        <v>0.13082214759529934</v>
      </c>
      <c r="F29" s="338">
        <f t="shared" si="4"/>
        <v>597.72</v>
      </c>
      <c r="G29" s="339">
        <f t="shared" ref="G29:H29" si="21">$C$21*E15</f>
        <v>703.2</v>
      </c>
      <c r="H29" s="339">
        <f t="shared" si="21"/>
        <v>791.1</v>
      </c>
      <c r="I29" s="376">
        <f t="shared" si="6"/>
        <v>1.1498725931974672E-2</v>
      </c>
      <c r="J29" s="338">
        <f t="shared" si="7"/>
        <v>313.72000000000003</v>
      </c>
      <c r="K29" s="339">
        <f t="shared" ref="K29:L29" si="22">$D$21*J15</f>
        <v>349.14000000000004</v>
      </c>
      <c r="L29" s="339">
        <f t="shared" si="22"/>
        <v>394.68</v>
      </c>
      <c r="M29" s="376">
        <f t="shared" si="9"/>
        <v>7.9731632931703163E-3</v>
      </c>
      <c r="N29" s="377">
        <f t="shared" si="10"/>
        <v>0.15029403682044434</v>
      </c>
      <c r="P29" s="45" t="s">
        <v>388</v>
      </c>
      <c r="Q29" s="176">
        <f t="shared" si="14"/>
        <v>0.20008957178192124</v>
      </c>
      <c r="R29" s="176">
        <f t="shared" si="19"/>
        <v>0.21786412323563917</v>
      </c>
      <c r="S29" s="176">
        <f t="shared" si="15"/>
        <v>0.21018831539248542</v>
      </c>
    </row>
    <row r="30" spans="1:19" ht="17">
      <c r="A30" s="18" t="str">
        <f t="shared" si="0"/>
        <v>150-200 to 300mm</v>
      </c>
      <c r="B30" s="338">
        <f t="shared" si="1"/>
        <v>157.76</v>
      </c>
      <c r="C30" s="339">
        <f t="shared" ref="C30:D30" si="23">$B$21*E16</f>
        <v>179.51999999999998</v>
      </c>
      <c r="D30" s="339">
        <f t="shared" si="23"/>
        <v>201.28</v>
      </c>
      <c r="E30" s="376">
        <f t="shared" si="3"/>
        <v>0.11421024262848686</v>
      </c>
      <c r="F30" s="338">
        <f t="shared" si="4"/>
        <v>254.91</v>
      </c>
      <c r="G30" s="339">
        <f t="shared" ref="G30:H30" si="24">$C$21*E16</f>
        <v>290.07</v>
      </c>
      <c r="H30" s="339">
        <f t="shared" si="24"/>
        <v>325.23</v>
      </c>
      <c r="I30" s="376">
        <f t="shared" si="6"/>
        <v>8.586144156582369E-3</v>
      </c>
      <c r="J30" s="338">
        <f t="shared" si="7"/>
        <v>131.56</v>
      </c>
      <c r="K30" s="339">
        <f t="shared" ref="K30:L30" si="25">$D$21*J16</f>
        <v>146.74</v>
      </c>
      <c r="L30" s="339">
        <f t="shared" si="25"/>
        <v>166.98</v>
      </c>
      <c r="M30" s="376">
        <f t="shared" si="9"/>
        <v>6.6215950939226189E-3</v>
      </c>
      <c r="N30" s="377">
        <f t="shared" si="10"/>
        <v>0.12941798187899187</v>
      </c>
      <c r="P30" s="45" t="s">
        <v>389</v>
      </c>
      <c r="Q30" s="176">
        <f t="shared" si="14"/>
        <v>0.17468203175609989</v>
      </c>
      <c r="R30" s="176">
        <f t="shared" si="19"/>
        <v>0.16268000295989177</v>
      </c>
      <c r="S30" s="176">
        <f t="shared" si="15"/>
        <v>0.17455831102755909</v>
      </c>
    </row>
    <row r="31" spans="1:19" ht="17">
      <c r="A31" s="18" t="str">
        <f t="shared" si="0"/>
        <v>200-250 to 300mm</v>
      </c>
      <c r="B31" s="246">
        <f t="shared" si="1"/>
        <v>70.72</v>
      </c>
      <c r="C31" s="263">
        <f t="shared" ref="C31:D31" si="26">$B$21*E17</f>
        <v>76.16</v>
      </c>
      <c r="D31" s="263">
        <f t="shared" si="26"/>
        <v>87.04</v>
      </c>
      <c r="E31" s="310">
        <f t="shared" si="3"/>
        <v>0.11020385233338267</v>
      </c>
      <c r="F31" s="246">
        <f t="shared" si="4"/>
        <v>114.27000000000001</v>
      </c>
      <c r="G31" s="263">
        <f t="shared" ref="G31:H31" si="27">$C$21*E17</f>
        <v>123.06</v>
      </c>
      <c r="H31" s="263">
        <f t="shared" si="27"/>
        <v>140.64000000000001</v>
      </c>
      <c r="I31" s="310">
        <f t="shared" si="6"/>
        <v>6.8413915808411213E-3</v>
      </c>
      <c r="J31" s="246">
        <f t="shared" si="7"/>
        <v>55.660000000000004</v>
      </c>
      <c r="K31" s="263">
        <f t="shared" ref="K31:L31" si="28">$D$21*J17</f>
        <v>60.72</v>
      </c>
      <c r="L31" s="263">
        <f t="shared" si="28"/>
        <v>70.84</v>
      </c>
      <c r="M31" s="310">
        <f t="shared" si="9"/>
        <v>6.3095519413684025E-3</v>
      </c>
      <c r="N31" s="378">
        <f t="shared" si="10"/>
        <v>0.1233547958555922</v>
      </c>
      <c r="P31" s="45" t="s">
        <v>390</v>
      </c>
      <c r="Q31" s="176">
        <f t="shared" si="14"/>
        <v>0.16855434670220121</v>
      </c>
      <c r="R31" s="176">
        <f t="shared" si="19"/>
        <v>0.1296225153368511</v>
      </c>
      <c r="S31" s="176">
        <f t="shared" si="15"/>
        <v>0.16633223786769885</v>
      </c>
    </row>
    <row r="32" spans="1:19">
      <c r="B32" s="170"/>
      <c r="N32" s="125"/>
      <c r="P32" s="45" t="s">
        <v>392</v>
      </c>
      <c r="Q32" s="176">
        <f t="shared" si="14"/>
        <v>0.15647720410203145</v>
      </c>
      <c r="R32" s="176">
        <f t="shared" si="19"/>
        <v>0.15285840102327028</v>
      </c>
      <c r="S32" s="176">
        <f t="shared" si="15"/>
        <v>0.14524026725358374</v>
      </c>
    </row>
    <row r="33" spans="1:20" ht="17">
      <c r="A33" s="15" t="s">
        <v>559</v>
      </c>
      <c r="B33" s="60" t="s">
        <v>41</v>
      </c>
      <c r="C33" s="58" t="s">
        <v>42</v>
      </c>
      <c r="D33" s="59" t="s">
        <v>43</v>
      </c>
      <c r="P33" s="45"/>
      <c r="Q33" s="176"/>
      <c r="R33" s="176"/>
      <c r="S33" s="176"/>
    </row>
    <row r="34" spans="1:20">
      <c r="A34" s="18"/>
      <c r="B34" s="446">
        <v>0.1</v>
      </c>
      <c r="C34" s="229">
        <v>0.05</v>
      </c>
      <c r="D34" s="304">
        <v>0.01</v>
      </c>
      <c r="E34" t="s">
        <v>133</v>
      </c>
      <c r="P34" s="45"/>
      <c r="Q34" s="176"/>
      <c r="R34" s="176"/>
      <c r="S34" s="176"/>
    </row>
    <row r="35" spans="1:20">
      <c r="B35" s="170"/>
      <c r="P35" s="45"/>
      <c r="Q35" s="176"/>
      <c r="R35" s="176"/>
      <c r="S35" s="176"/>
    </row>
    <row r="36" spans="1:20">
      <c r="B36" s="170"/>
      <c r="P36" s="45"/>
      <c r="Q36" s="176"/>
      <c r="R36" s="176"/>
      <c r="S36" s="176"/>
    </row>
    <row r="37" spans="1:20" ht="17">
      <c r="A37" s="297" t="s">
        <v>558</v>
      </c>
      <c r="B37" s="240" t="s">
        <v>308</v>
      </c>
      <c r="C37" s="266"/>
      <c r="D37" s="239"/>
      <c r="E37" s="240" t="s">
        <v>352</v>
      </c>
      <c r="F37" s="266"/>
      <c r="G37" s="239"/>
      <c r="H37" s="266" t="s">
        <v>353</v>
      </c>
      <c r="I37" s="266"/>
      <c r="J37" s="239"/>
      <c r="P37" s="45"/>
      <c r="Q37" s="176"/>
      <c r="R37" s="176"/>
      <c r="S37" s="176"/>
    </row>
    <row r="38" spans="1:20">
      <c r="A38" s="415"/>
      <c r="B38" s="375" t="s">
        <v>41</v>
      </c>
      <c r="C38" s="242" t="s">
        <v>42</v>
      </c>
      <c r="D38" s="243" t="s">
        <v>43</v>
      </c>
      <c r="E38" s="375" t="s">
        <v>41</v>
      </c>
      <c r="F38" s="242" t="s">
        <v>42</v>
      </c>
      <c r="G38" s="243" t="s">
        <v>43</v>
      </c>
      <c r="H38" s="242" t="s">
        <v>41</v>
      </c>
      <c r="I38" s="242" t="s">
        <v>42</v>
      </c>
      <c r="J38" s="243" t="s">
        <v>43</v>
      </c>
      <c r="P38" s="45"/>
      <c r="Q38" s="176"/>
      <c r="R38" s="176"/>
      <c r="S38" s="176"/>
    </row>
    <row r="39" spans="1:20" ht="17">
      <c r="A39" s="269" t="str">
        <f>A26</f>
        <v>None to 300mm</v>
      </c>
      <c r="B39" s="276">
        <f>$E26*(1-B$34)</f>
        <v>8.3567642948795783E-3</v>
      </c>
      <c r="C39" s="277">
        <f>$E26*(1-C$34)</f>
        <v>8.8210289779284429E-3</v>
      </c>
      <c r="D39" s="271">
        <f>$E26*(1-D$34)</f>
        <v>9.1924407243675361E-3</v>
      </c>
      <c r="E39" s="276">
        <f t="shared" ref="E39:E44" si="29">$I26*(1-B$34)</f>
        <v>1.5057963756267788E-3</v>
      </c>
      <c r="F39" s="277">
        <f>$I26*(1-C$34)</f>
        <v>1.5894517298282664E-3</v>
      </c>
      <c r="G39" s="271">
        <f t="shared" ref="G39:G44" si="30">$I26*(1-D$34)</f>
        <v>1.6563760131894567E-3</v>
      </c>
      <c r="H39" s="277">
        <f t="shared" ref="H39:H44" si="31">$M26*(1-B$34)</f>
        <v>7.2866800092389304E-4</v>
      </c>
      <c r="I39" s="277">
        <f>$M26*(1-C$34)</f>
        <v>7.691495565307759E-4</v>
      </c>
      <c r="J39" s="271">
        <f t="shared" ref="J39:J44" si="32">$M26*(1-D$34)</f>
        <v>8.0153480101628229E-4</v>
      </c>
      <c r="P39" s="45"/>
      <c r="Q39" s="176"/>
      <c r="R39" s="176"/>
      <c r="S39" s="176"/>
    </row>
    <row r="40" spans="1:20" ht="17">
      <c r="A40" s="269" t="str">
        <f t="shared" ref="A40:A43" si="33">A27</f>
        <v>0- 50, to 300mm</v>
      </c>
      <c r="B40" s="276">
        <f t="shared" ref="B40:D40" si="34">$E27*(1-B$34)</f>
        <v>2.8069677462937332E-2</v>
      </c>
      <c r="C40" s="277">
        <f t="shared" si="34"/>
        <v>2.9629103988656071E-2</v>
      </c>
      <c r="D40" s="271">
        <f t="shared" si="34"/>
        <v>3.0876645209231064E-2</v>
      </c>
      <c r="E40" s="276">
        <f t="shared" si="29"/>
        <v>2.4601551381140054E-3</v>
      </c>
      <c r="F40" s="277">
        <f t="shared" ref="F40:F44" si="35">$I27*(1-C$34)</f>
        <v>2.5968304235647831E-3</v>
      </c>
      <c r="G40" s="271">
        <f t="shared" si="30"/>
        <v>2.7061706519254055E-3</v>
      </c>
      <c r="H40" s="277">
        <f t="shared" si="31"/>
        <v>2.8636645497860263E-3</v>
      </c>
      <c r="I40" s="277">
        <f t="shared" ref="I40:I44" si="36">$M27*(1-C$34)</f>
        <v>3.022757024774139E-3</v>
      </c>
      <c r="J40" s="271">
        <f t="shared" si="32"/>
        <v>3.150031004764629E-3</v>
      </c>
      <c r="P40" s="45"/>
      <c r="Q40" s="176"/>
      <c r="R40" s="176"/>
      <c r="S40" s="176"/>
    </row>
    <row r="41" spans="1:20" ht="17">
      <c r="A41" s="269" t="str">
        <f t="shared" si="33"/>
        <v>50-100 to 300mm</v>
      </c>
      <c r="B41" s="276">
        <f t="shared" ref="B41:D41" si="37">$E28*(1-B$34)</f>
        <v>0.14022022768368586</v>
      </c>
      <c r="C41" s="277">
        <f t="shared" si="37"/>
        <v>0.14801024033277951</v>
      </c>
      <c r="D41" s="271">
        <f t="shared" si="37"/>
        <v>0.15424225045205445</v>
      </c>
      <c r="E41" s="276">
        <f t="shared" si="29"/>
        <v>1.2040834558422272E-2</v>
      </c>
      <c r="F41" s="277">
        <f t="shared" si="35"/>
        <v>1.2709769811667953E-2</v>
      </c>
      <c r="G41" s="271">
        <f t="shared" si="30"/>
        <v>1.3244918014264499E-2</v>
      </c>
      <c r="H41" s="277">
        <f t="shared" si="31"/>
        <v>6.7753581262924136E-3</v>
      </c>
      <c r="I41" s="277">
        <f t="shared" si="36"/>
        <v>7.1517669110864358E-3</v>
      </c>
      <c r="J41" s="271">
        <f t="shared" si="32"/>
        <v>7.4528939389216543E-3</v>
      </c>
      <c r="P41" s="45"/>
      <c r="Q41" s="176"/>
      <c r="R41" s="176"/>
      <c r="S41" s="176"/>
    </row>
    <row r="42" spans="1:20" ht="17">
      <c r="A42" s="269" t="str">
        <f t="shared" si="33"/>
        <v>100-150 to 300mm</v>
      </c>
      <c r="B42" s="276">
        <f t="shared" ref="B42:D42" si="38">$E29*(1-B$34)</f>
        <v>0.1177399328357694</v>
      </c>
      <c r="C42" s="277">
        <f t="shared" si="38"/>
        <v>0.12428104021553436</v>
      </c>
      <c r="D42" s="271">
        <f t="shared" si="38"/>
        <v>0.12951392611934634</v>
      </c>
      <c r="E42" s="276">
        <f t="shared" si="29"/>
        <v>1.0348853338777206E-2</v>
      </c>
      <c r="F42" s="277">
        <f t="shared" si="35"/>
        <v>1.0923789635375939E-2</v>
      </c>
      <c r="G42" s="271">
        <f t="shared" si="30"/>
        <v>1.1383738672654926E-2</v>
      </c>
      <c r="H42" s="277">
        <f t="shared" si="31"/>
        <v>7.175846963853285E-3</v>
      </c>
      <c r="I42" s="277">
        <f t="shared" si="36"/>
        <v>7.5745051285117998E-3</v>
      </c>
      <c r="J42" s="271">
        <f t="shared" si="32"/>
        <v>7.8934316602386131E-3</v>
      </c>
      <c r="P42" s="45"/>
      <c r="Q42" s="176"/>
      <c r="R42" s="176"/>
      <c r="S42" s="176"/>
    </row>
    <row r="43" spans="1:20" ht="17">
      <c r="A43" s="269" t="str">
        <f t="shared" si="33"/>
        <v>150-200 to 300mm</v>
      </c>
      <c r="B43" s="276">
        <f t="shared" ref="B43:D43" si="39">$E30*(1-B$34)</f>
        <v>0.10278921836563817</v>
      </c>
      <c r="C43" s="277">
        <f t="shared" si="39"/>
        <v>0.10849973049706252</v>
      </c>
      <c r="D43" s="271">
        <f t="shared" si="39"/>
        <v>0.11306814020220199</v>
      </c>
      <c r="E43" s="276">
        <f t="shared" si="29"/>
        <v>7.7275297409241323E-3</v>
      </c>
      <c r="F43" s="277">
        <f t="shared" si="35"/>
        <v>8.1568369487532502E-3</v>
      </c>
      <c r="G43" s="271">
        <f t="shared" si="30"/>
        <v>8.5002827150165456E-3</v>
      </c>
      <c r="H43" s="277">
        <f t="shared" si="31"/>
        <v>5.9594355845303572E-3</v>
      </c>
      <c r="I43" s="277">
        <f t="shared" si="36"/>
        <v>6.290515339226488E-3</v>
      </c>
      <c r="J43" s="271">
        <f t="shared" si="32"/>
        <v>6.5553791429833926E-3</v>
      </c>
      <c r="P43" s="45"/>
      <c r="Q43" s="176"/>
      <c r="R43" s="176"/>
      <c r="S43" s="176"/>
    </row>
    <row r="44" spans="1:20" ht="17">
      <c r="A44" s="270" t="str">
        <f>A31</f>
        <v>200-250 to 300mm</v>
      </c>
      <c r="B44" s="278">
        <f t="shared" ref="B44:D44" si="40">$E31*(1-B$34)</f>
        <v>9.9183467100044415E-2</v>
      </c>
      <c r="C44" s="279">
        <f t="shared" si="40"/>
        <v>0.10469365971671353</v>
      </c>
      <c r="D44" s="272">
        <f t="shared" si="40"/>
        <v>0.10910181381004884</v>
      </c>
      <c r="E44" s="278">
        <f t="shared" si="29"/>
        <v>6.1572524227570093E-3</v>
      </c>
      <c r="F44" s="279">
        <f t="shared" si="35"/>
        <v>6.4993220017990653E-3</v>
      </c>
      <c r="G44" s="272">
        <f t="shared" si="30"/>
        <v>6.7729776650327098E-3</v>
      </c>
      <c r="H44" s="279">
        <f t="shared" si="31"/>
        <v>5.6785967472315624E-3</v>
      </c>
      <c r="I44" s="279">
        <f t="shared" si="36"/>
        <v>5.994074344299982E-3</v>
      </c>
      <c r="J44" s="272">
        <f t="shared" si="32"/>
        <v>6.2464564219547186E-3</v>
      </c>
      <c r="P44" s="45"/>
      <c r="Q44" s="176"/>
      <c r="R44" s="176"/>
      <c r="S44" s="176"/>
    </row>
    <row r="45" spans="1:20">
      <c r="B45" s="170"/>
      <c r="K45" s="125"/>
      <c r="P45" s="45"/>
      <c r="Q45" s="176"/>
      <c r="R45" s="176"/>
      <c r="S45" s="176"/>
    </row>
    <row r="46" spans="1:20">
      <c r="H46" s="123"/>
      <c r="I46" s="123"/>
      <c r="J46" s="123"/>
    </row>
    <row r="47" spans="1:20">
      <c r="H47" s="190"/>
      <c r="I47" s="190"/>
      <c r="J47" s="190"/>
    </row>
    <row r="48" spans="1:20" ht="17">
      <c r="A48" s="17" t="s">
        <v>354</v>
      </c>
      <c r="B48" s="907" t="s">
        <v>682</v>
      </c>
      <c r="C48" s="908"/>
      <c r="D48" s="908"/>
      <c r="E48" s="908"/>
      <c r="F48" s="908"/>
      <c r="G48" s="908"/>
      <c r="H48" s="908"/>
      <c r="I48" s="908"/>
      <c r="J48" s="908"/>
      <c r="K48" s="907" t="s">
        <v>689</v>
      </c>
      <c r="L48" s="908"/>
      <c r="M48" s="908"/>
      <c r="N48" s="908"/>
      <c r="O48" s="908"/>
      <c r="P48" s="908"/>
      <c r="Q48" s="908"/>
      <c r="R48" s="908"/>
      <c r="S48" s="909"/>
      <c r="T48" s="622" t="s">
        <v>684</v>
      </c>
    </row>
    <row r="49" spans="1:20">
      <c r="A49" s="11"/>
      <c r="B49" s="171" t="s">
        <v>308</v>
      </c>
      <c r="C49" s="172"/>
      <c r="D49" s="174"/>
      <c r="E49" s="171" t="s">
        <v>352</v>
      </c>
      <c r="F49" s="172"/>
      <c r="G49" s="174"/>
      <c r="H49" s="520" t="s">
        <v>353</v>
      </c>
      <c r="I49" s="521"/>
      <c r="J49" s="522"/>
      <c r="K49" s="171" t="s">
        <v>308</v>
      </c>
      <c r="L49" s="172"/>
      <c r="M49" s="174"/>
      <c r="N49" s="171" t="s">
        <v>352</v>
      </c>
      <c r="O49" s="172"/>
      <c r="P49" s="174"/>
      <c r="Q49" s="520" t="s">
        <v>353</v>
      </c>
      <c r="R49" s="521"/>
      <c r="S49" s="522"/>
      <c r="T49" s="161"/>
    </row>
    <row r="50" spans="1:20">
      <c r="A50" s="225"/>
      <c r="B50" s="450" t="s">
        <v>41</v>
      </c>
      <c r="C50" s="224" t="s">
        <v>42</v>
      </c>
      <c r="D50" s="46" t="s">
        <v>43</v>
      </c>
      <c r="E50" s="450" t="s">
        <v>41</v>
      </c>
      <c r="F50" s="224" t="s">
        <v>42</v>
      </c>
      <c r="G50" s="46" t="s">
        <v>43</v>
      </c>
      <c r="H50" s="450" t="s">
        <v>41</v>
      </c>
      <c r="I50" s="224" t="s">
        <v>42</v>
      </c>
      <c r="J50" s="46" t="s">
        <v>43</v>
      </c>
      <c r="K50" s="450" t="s">
        <v>41</v>
      </c>
      <c r="L50" s="224" t="s">
        <v>42</v>
      </c>
      <c r="M50" s="46" t="s">
        <v>43</v>
      </c>
      <c r="N50" s="450" t="s">
        <v>41</v>
      </c>
      <c r="O50" s="224" t="s">
        <v>42</v>
      </c>
      <c r="P50" s="46" t="s">
        <v>43</v>
      </c>
      <c r="Q50" s="450" t="s">
        <v>41</v>
      </c>
      <c r="R50" s="224" t="s">
        <v>42</v>
      </c>
      <c r="S50" s="46" t="s">
        <v>43</v>
      </c>
      <c r="T50" s="161"/>
    </row>
    <row r="51" spans="1:20" ht="17">
      <c r="A51" s="18" t="str">
        <f>A39</f>
        <v>None to 300mm</v>
      </c>
      <c r="B51" s="684">
        <f>B26</f>
        <v>4515.2</v>
      </c>
      <c r="C51" s="685">
        <f t="shared" ref="C51:D51" si="41">C26</f>
        <v>5178.88</v>
      </c>
      <c r="D51" s="686">
        <f t="shared" si="41"/>
        <v>5755.5199999999995</v>
      </c>
      <c r="E51" s="684">
        <f>F26</f>
        <v>7295.7000000000007</v>
      </c>
      <c r="F51" s="685">
        <f t="shared" ref="F51:G51" si="42">G26</f>
        <v>8368.08</v>
      </c>
      <c r="G51" s="686">
        <f t="shared" si="42"/>
        <v>9299.82</v>
      </c>
      <c r="H51" s="684">
        <f>J26</f>
        <v>3557.18</v>
      </c>
      <c r="I51" s="685">
        <f t="shared" ref="I51:J51" si="43">K26</f>
        <v>4027.7599999999998</v>
      </c>
      <c r="J51" s="686">
        <f t="shared" si="43"/>
        <v>4548.9400000000005</v>
      </c>
      <c r="K51" s="684">
        <f t="shared" ref="K51:S56" si="44">B39*numberDwellingsUK/1000</f>
        <v>235.27482938370227</v>
      </c>
      <c r="L51" s="685">
        <f t="shared" si="44"/>
        <v>248.34565323835238</v>
      </c>
      <c r="M51" s="686">
        <f t="shared" si="44"/>
        <v>258.80231232207251</v>
      </c>
      <c r="N51" s="338">
        <f t="shared" si="44"/>
        <v>42.393918610252342</v>
      </c>
      <c r="O51" s="339">
        <f t="shared" si="44"/>
        <v>44.749136310821918</v>
      </c>
      <c r="P51" s="340">
        <f t="shared" si="44"/>
        <v>46.633310471277575</v>
      </c>
      <c r="Q51" s="338">
        <f t="shared" si="44"/>
        <v>20.514787009103117</v>
      </c>
      <c r="R51" s="339">
        <f t="shared" si="44"/>
        <v>21.654497398497732</v>
      </c>
      <c r="S51" s="340">
        <f t="shared" si="44"/>
        <v>22.566265710013429</v>
      </c>
      <c r="T51" s="405" t="s">
        <v>195</v>
      </c>
    </row>
    <row r="52" spans="1:20" ht="17">
      <c r="A52" s="18" t="str">
        <f t="shared" ref="A52:A56" si="45">A40</f>
        <v>0- 50, to 300mm</v>
      </c>
      <c r="B52" s="684">
        <f t="shared" ref="B52:D52" si="46">B27</f>
        <v>1224</v>
      </c>
      <c r="C52" s="685">
        <f t="shared" si="46"/>
        <v>1506.8799999999999</v>
      </c>
      <c r="D52" s="686">
        <f t="shared" si="46"/>
        <v>1702.72</v>
      </c>
      <c r="E52" s="684">
        <f t="shared" ref="E52:G52" si="47">F27</f>
        <v>1977.7500000000002</v>
      </c>
      <c r="F52" s="685">
        <f t="shared" si="47"/>
        <v>2434.83</v>
      </c>
      <c r="G52" s="686">
        <f t="shared" si="47"/>
        <v>2751.2700000000004</v>
      </c>
      <c r="H52" s="684">
        <f t="shared" ref="H52:J52" si="48">J27</f>
        <v>1092.96</v>
      </c>
      <c r="I52" s="685">
        <f t="shared" si="48"/>
        <v>1204.28</v>
      </c>
      <c r="J52" s="686">
        <f t="shared" si="48"/>
        <v>1295.3600000000001</v>
      </c>
      <c r="K52" s="684">
        <f t="shared" si="44"/>
        <v>790.26861867991681</v>
      </c>
      <c r="L52" s="685">
        <f t="shared" si="44"/>
        <v>834.172430828801</v>
      </c>
      <c r="M52" s="686">
        <f t="shared" si="44"/>
        <v>869.29548054790848</v>
      </c>
      <c r="N52" s="338">
        <f t="shared" si="44"/>
        <v>69.262762470381716</v>
      </c>
      <c r="O52" s="339">
        <f t="shared" si="44"/>
        <v>73.110693718736229</v>
      </c>
      <c r="P52" s="340">
        <f t="shared" si="44"/>
        <v>76.189038717419876</v>
      </c>
      <c r="Q52" s="338">
        <f t="shared" si="44"/>
        <v>80.623093411392276</v>
      </c>
      <c r="R52" s="339">
        <f t="shared" si="44"/>
        <v>85.102154156469624</v>
      </c>
      <c r="S52" s="340">
        <f t="shared" si="44"/>
        <v>88.685402752531502</v>
      </c>
      <c r="T52" s="405" t="s">
        <v>195</v>
      </c>
    </row>
    <row r="53" spans="1:20" ht="17">
      <c r="A53" s="18" t="str">
        <f t="shared" si="45"/>
        <v>50-100 to 300mm</v>
      </c>
      <c r="B53" s="684">
        <f t="shared" ref="B53:D53" si="49">B28</f>
        <v>544</v>
      </c>
      <c r="C53" s="685">
        <f t="shared" si="49"/>
        <v>712.64</v>
      </c>
      <c r="D53" s="686">
        <f t="shared" si="49"/>
        <v>799.68</v>
      </c>
      <c r="E53" s="684">
        <f t="shared" ref="E53:G53" si="50">F28</f>
        <v>879</v>
      </c>
      <c r="F53" s="685">
        <f t="shared" si="50"/>
        <v>1151.49</v>
      </c>
      <c r="G53" s="686">
        <f t="shared" si="50"/>
        <v>1292.1300000000001</v>
      </c>
      <c r="H53" s="684">
        <f t="shared" ref="H53:J53" si="51">J28</f>
        <v>475.64000000000004</v>
      </c>
      <c r="I53" s="685">
        <f t="shared" si="51"/>
        <v>551.54000000000008</v>
      </c>
      <c r="J53" s="686">
        <f t="shared" si="51"/>
        <v>612.26</v>
      </c>
      <c r="K53" s="684">
        <f t="shared" si="44"/>
        <v>3947.7349103452812</v>
      </c>
      <c r="L53" s="685">
        <f t="shared" si="44"/>
        <v>4167.0535164755738</v>
      </c>
      <c r="M53" s="686">
        <f t="shared" si="44"/>
        <v>4342.5084013798087</v>
      </c>
      <c r="N53" s="338">
        <f t="shared" si="44"/>
        <v>338.99547676676559</v>
      </c>
      <c r="O53" s="339">
        <f t="shared" si="44"/>
        <v>357.82855880936364</v>
      </c>
      <c r="P53" s="340">
        <f t="shared" si="44"/>
        <v>372.89502444344214</v>
      </c>
      <c r="Q53" s="338">
        <f t="shared" si="44"/>
        <v>190.75220634781576</v>
      </c>
      <c r="R53" s="339">
        <f t="shared" si="44"/>
        <v>201.3495511449166</v>
      </c>
      <c r="S53" s="340">
        <f t="shared" si="44"/>
        <v>209.8274269825973</v>
      </c>
      <c r="T53" s="692" t="s">
        <v>194</v>
      </c>
    </row>
    <row r="54" spans="1:20" ht="17">
      <c r="A54" s="18" t="str">
        <f t="shared" si="45"/>
        <v>100-150 to 300mm</v>
      </c>
      <c r="B54" s="684">
        <f t="shared" ref="B54:D54" si="52">B29</f>
        <v>369.91999999999996</v>
      </c>
      <c r="C54" s="685">
        <f t="shared" si="52"/>
        <v>435.2</v>
      </c>
      <c r="D54" s="686">
        <f t="shared" si="52"/>
        <v>489.59999999999997</v>
      </c>
      <c r="E54" s="684">
        <f t="shared" ref="E54:G54" si="53">F29</f>
        <v>597.72</v>
      </c>
      <c r="F54" s="685">
        <f t="shared" si="53"/>
        <v>703.2</v>
      </c>
      <c r="G54" s="686">
        <f t="shared" si="53"/>
        <v>791.1</v>
      </c>
      <c r="H54" s="684">
        <f t="shared" ref="H54:J54" si="54">J29</f>
        <v>313.72000000000003</v>
      </c>
      <c r="I54" s="685">
        <f t="shared" si="54"/>
        <v>349.14000000000004</v>
      </c>
      <c r="J54" s="686">
        <f t="shared" si="54"/>
        <v>394.68</v>
      </c>
      <c r="K54" s="684">
        <f t="shared" si="44"/>
        <v>3314.8287581304085</v>
      </c>
      <c r="L54" s="685">
        <f t="shared" si="44"/>
        <v>3498.9859113598754</v>
      </c>
      <c r="M54" s="686">
        <f t="shared" si="44"/>
        <v>3646.3116339434491</v>
      </c>
      <c r="N54" s="338">
        <f t="shared" si="44"/>
        <v>291.35974375747912</v>
      </c>
      <c r="O54" s="339">
        <f t="shared" si="44"/>
        <v>307.54639618845016</v>
      </c>
      <c r="P54" s="340">
        <f t="shared" si="44"/>
        <v>320.495718133227</v>
      </c>
      <c r="Q54" s="338">
        <f t="shared" si="44"/>
        <v>202.02749659202493</v>
      </c>
      <c r="R54" s="339">
        <f t="shared" si="44"/>
        <v>213.25124640269294</v>
      </c>
      <c r="S54" s="340">
        <f t="shared" si="44"/>
        <v>222.23024625122741</v>
      </c>
      <c r="T54" s="692" t="s">
        <v>194</v>
      </c>
    </row>
    <row r="55" spans="1:20" ht="17">
      <c r="A55" s="18" t="str">
        <f t="shared" si="45"/>
        <v>150-200 to 300mm</v>
      </c>
      <c r="B55" s="684">
        <f t="shared" ref="B55:D55" si="55">B30</f>
        <v>157.76</v>
      </c>
      <c r="C55" s="685">
        <f t="shared" si="55"/>
        <v>179.51999999999998</v>
      </c>
      <c r="D55" s="686">
        <f t="shared" si="55"/>
        <v>201.28</v>
      </c>
      <c r="E55" s="684">
        <f t="shared" ref="E55:G55" si="56">F30</f>
        <v>254.91</v>
      </c>
      <c r="F55" s="685">
        <f t="shared" si="56"/>
        <v>290.07</v>
      </c>
      <c r="G55" s="686">
        <f t="shared" si="56"/>
        <v>325.23</v>
      </c>
      <c r="H55" s="684">
        <f t="shared" ref="H55:J55" si="57">J30</f>
        <v>131.56</v>
      </c>
      <c r="I55" s="685">
        <f t="shared" si="57"/>
        <v>146.74</v>
      </c>
      <c r="J55" s="686">
        <f t="shared" si="57"/>
        <v>166.98</v>
      </c>
      <c r="K55" s="684">
        <f t="shared" si="44"/>
        <v>2893.9090490176527</v>
      </c>
      <c r="L55" s="685">
        <f t="shared" si="44"/>
        <v>3054.6817739630783</v>
      </c>
      <c r="M55" s="686">
        <f t="shared" si="44"/>
        <v>3183.2999539194179</v>
      </c>
      <c r="N55" s="338">
        <f t="shared" si="44"/>
        <v>217.55947364309492</v>
      </c>
      <c r="O55" s="339">
        <f t="shared" si="44"/>
        <v>229.64611106771127</v>
      </c>
      <c r="P55" s="340">
        <f t="shared" si="44"/>
        <v>239.31542100740438</v>
      </c>
      <c r="Q55" s="338">
        <f t="shared" si="44"/>
        <v>167.78087078902686</v>
      </c>
      <c r="R55" s="339">
        <f t="shared" si="44"/>
        <v>177.10203027730614</v>
      </c>
      <c r="S55" s="340">
        <f t="shared" si="44"/>
        <v>184.55895786792956</v>
      </c>
      <c r="T55" s="405" t="s">
        <v>193</v>
      </c>
    </row>
    <row r="56" spans="1:20" ht="17">
      <c r="A56" s="18" t="str">
        <f t="shared" si="45"/>
        <v>200-250 to 300mm</v>
      </c>
      <c r="B56" s="687">
        <f t="shared" ref="B56:D56" si="58">B31</f>
        <v>70.72</v>
      </c>
      <c r="C56" s="688">
        <f t="shared" si="58"/>
        <v>76.16</v>
      </c>
      <c r="D56" s="689">
        <f t="shared" si="58"/>
        <v>87.04</v>
      </c>
      <c r="E56" s="687">
        <f t="shared" ref="E56:G56" si="59">F31</f>
        <v>114.27000000000001</v>
      </c>
      <c r="F56" s="688">
        <f t="shared" si="59"/>
        <v>123.06</v>
      </c>
      <c r="G56" s="689">
        <f t="shared" si="59"/>
        <v>140.64000000000001</v>
      </c>
      <c r="H56" s="687">
        <f t="shared" ref="H56:J56" si="60">J31</f>
        <v>55.660000000000004</v>
      </c>
      <c r="I56" s="688">
        <f t="shared" si="60"/>
        <v>60.72</v>
      </c>
      <c r="J56" s="689">
        <f t="shared" si="60"/>
        <v>70.84</v>
      </c>
      <c r="K56" s="687">
        <f t="shared" si="44"/>
        <v>2792.3933805271054</v>
      </c>
      <c r="L56" s="688">
        <f t="shared" si="44"/>
        <v>2947.5263461119439</v>
      </c>
      <c r="M56" s="689">
        <f t="shared" si="44"/>
        <v>3071.6327185798154</v>
      </c>
      <c r="N56" s="246">
        <f t="shared" si="44"/>
        <v>173.35017024761231</v>
      </c>
      <c r="O56" s="263">
        <f t="shared" si="44"/>
        <v>182.98073526136858</v>
      </c>
      <c r="P56" s="264">
        <f t="shared" si="44"/>
        <v>190.68518727237353</v>
      </c>
      <c r="Q56" s="246">
        <f t="shared" si="44"/>
        <v>159.87418499554616</v>
      </c>
      <c r="R56" s="263">
        <f t="shared" si="44"/>
        <v>168.75608416196539</v>
      </c>
      <c r="S56" s="264">
        <f t="shared" si="44"/>
        <v>175.86160349510078</v>
      </c>
      <c r="T56" s="309" t="s">
        <v>193</v>
      </c>
    </row>
  </sheetData>
  <sheetProtection sheet="1" objects="1" scenarios="1"/>
  <mergeCells count="6">
    <mergeCell ref="B48:J48"/>
    <mergeCell ref="K48:S48"/>
    <mergeCell ref="N24:N25"/>
    <mergeCell ref="E24:E25"/>
    <mergeCell ref="M24:M25"/>
    <mergeCell ref="I24:I25"/>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T91"/>
  <sheetViews>
    <sheetView workbookViewId="0">
      <selection activeCell="A28" sqref="A28"/>
    </sheetView>
  </sheetViews>
  <sheetFormatPr baseColWidth="10" defaultColWidth="10.5" defaultRowHeight="16"/>
  <cols>
    <col min="1" max="1" width="64.33203125" style="13" customWidth="1"/>
    <col min="8" max="8" width="14.5" customWidth="1"/>
    <col min="11" max="11" width="12.5" customWidth="1"/>
    <col min="20" max="20" width="19.33203125" customWidth="1"/>
  </cols>
  <sheetData>
    <row r="1" spans="1:11" ht="17">
      <c r="A1" s="15" t="s">
        <v>393</v>
      </c>
      <c r="B1" s="20"/>
      <c r="C1" s="20"/>
      <c r="D1" s="20"/>
      <c r="E1" s="20"/>
      <c r="F1" s="20"/>
      <c r="G1" s="20"/>
      <c r="H1" s="20"/>
      <c r="I1" s="16"/>
      <c r="J1" s="16"/>
      <c r="K1" s="16"/>
    </row>
    <row r="2" spans="1:11" ht="17">
      <c r="A2" s="15" t="s">
        <v>661</v>
      </c>
      <c r="B2" s="20"/>
      <c r="C2" s="20"/>
      <c r="D2" s="20"/>
      <c r="E2" s="20"/>
      <c r="F2" s="20"/>
      <c r="G2" s="20"/>
      <c r="H2" s="20"/>
      <c r="I2" s="16"/>
      <c r="J2" s="16"/>
      <c r="K2" s="16"/>
    </row>
    <row r="3" spans="1:11" ht="136">
      <c r="A3" s="13" t="s">
        <v>394</v>
      </c>
    </row>
    <row r="4" spans="1:11" ht="68">
      <c r="A4" s="13" t="s">
        <v>596</v>
      </c>
    </row>
    <row r="5" spans="1:11" ht="85">
      <c r="A5" s="13" t="s">
        <v>413</v>
      </c>
    </row>
    <row r="6" spans="1:11" ht="78.75" customHeight="1">
      <c r="A6" s="13" t="s">
        <v>414</v>
      </c>
    </row>
    <row r="7" spans="1:11" ht="34">
      <c r="A7" s="13" t="s">
        <v>445</v>
      </c>
    </row>
    <row r="9" spans="1:11" ht="17" thickBot="1"/>
    <row r="10" spans="1:11" ht="17">
      <c r="A10" s="184" t="s">
        <v>395</v>
      </c>
      <c r="B10" s="182"/>
      <c r="C10" s="182"/>
      <c r="D10" s="182"/>
      <c r="E10" s="182"/>
      <c r="F10" s="183"/>
    </row>
    <row r="11" spans="1:11" ht="68">
      <c r="A11" s="177" t="s">
        <v>599</v>
      </c>
      <c r="F11" s="178"/>
      <c r="H11" t="s">
        <v>482</v>
      </c>
    </row>
    <row r="12" spans="1:11">
      <c r="A12" s="177"/>
      <c r="F12" s="178"/>
      <c r="H12" t="s">
        <v>425</v>
      </c>
    </row>
    <row r="13" spans="1:11">
      <c r="A13" s="185" t="s">
        <v>480</v>
      </c>
      <c r="B13" s="181"/>
      <c r="C13" s="181"/>
      <c r="D13" s="181"/>
      <c r="E13" s="181"/>
      <c r="F13" s="178"/>
    </row>
    <row r="14" spans="1:11">
      <c r="A14" s="186"/>
      <c r="B14" s="181" t="s">
        <v>396</v>
      </c>
      <c r="C14" s="181"/>
      <c r="D14" s="181" t="s">
        <v>397</v>
      </c>
      <c r="E14" s="181"/>
      <c r="F14" s="178"/>
    </row>
    <row r="15" spans="1:11">
      <c r="A15" s="185" t="s">
        <v>62</v>
      </c>
      <c r="B15" s="181">
        <v>1.1000000000000001</v>
      </c>
      <c r="C15" s="181">
        <v>1.1000000000000001</v>
      </c>
      <c r="D15" s="181">
        <v>2.1</v>
      </c>
      <c r="E15" s="181">
        <v>2.1</v>
      </c>
      <c r="F15" s="178" t="s">
        <v>481</v>
      </c>
    </row>
    <row r="16" spans="1:11">
      <c r="A16" s="185"/>
      <c r="B16" s="181"/>
      <c r="C16" s="181"/>
      <c r="D16" s="181"/>
      <c r="E16" s="181"/>
      <c r="F16" s="178"/>
    </row>
    <row r="17" spans="1:9">
      <c r="A17" s="186"/>
      <c r="B17" s="181" t="s">
        <v>404</v>
      </c>
      <c r="C17" s="181" t="s">
        <v>398</v>
      </c>
      <c r="D17" s="181" t="s">
        <v>404</v>
      </c>
      <c r="E17" s="181" t="s">
        <v>398</v>
      </c>
      <c r="F17" s="178"/>
    </row>
    <row r="18" spans="1:9">
      <c r="A18" s="185" t="s">
        <v>399</v>
      </c>
      <c r="B18" s="181">
        <v>50.7</v>
      </c>
      <c r="C18" s="181">
        <v>50.7</v>
      </c>
      <c r="D18" s="181">
        <v>51.5</v>
      </c>
      <c r="E18" s="181">
        <v>50.8</v>
      </c>
      <c r="F18" s="178" t="s">
        <v>406</v>
      </c>
    </row>
    <row r="19" spans="1:9">
      <c r="A19" s="185" t="s">
        <v>400</v>
      </c>
      <c r="B19" s="181">
        <v>34.5</v>
      </c>
      <c r="C19" s="181">
        <v>19.899999999999999</v>
      </c>
      <c r="D19" s="181">
        <v>29</v>
      </c>
      <c r="E19" s="181">
        <v>15.9</v>
      </c>
      <c r="F19" s="178" t="s">
        <v>406</v>
      </c>
    </row>
    <row r="20" spans="1:9">
      <c r="A20" s="185" t="s">
        <v>401</v>
      </c>
      <c r="B20" s="181">
        <v>1.8</v>
      </c>
      <c r="C20" s="181">
        <v>2.2000000000000002</v>
      </c>
      <c r="D20" s="181">
        <v>3.8</v>
      </c>
      <c r="E20" s="181">
        <v>2.4</v>
      </c>
      <c r="F20" s="178" t="s">
        <v>406</v>
      </c>
    </row>
    <row r="21" spans="1:9">
      <c r="A21" s="185" t="s">
        <v>402</v>
      </c>
      <c r="B21" s="181">
        <v>0.2</v>
      </c>
      <c r="C21" s="181">
        <v>1</v>
      </c>
      <c r="D21" s="181">
        <v>0.2</v>
      </c>
      <c r="E21" s="181">
        <v>0.5</v>
      </c>
      <c r="F21" s="178" t="s">
        <v>406</v>
      </c>
    </row>
    <row r="22" spans="1:9">
      <c r="A22" s="179"/>
      <c r="F22" s="178"/>
    </row>
    <row r="23" spans="1:9">
      <c r="A23" s="287" t="s">
        <v>407</v>
      </c>
      <c r="B23" s="149"/>
      <c r="C23" s="149"/>
      <c r="D23" s="149"/>
      <c r="E23" s="149"/>
      <c r="F23" s="178"/>
    </row>
    <row r="24" spans="1:9">
      <c r="A24" s="285" t="s">
        <v>403</v>
      </c>
      <c r="B24" s="149">
        <f>B19-B20</f>
        <v>32.700000000000003</v>
      </c>
      <c r="C24" s="149">
        <f>C19-C20</f>
        <v>17.7</v>
      </c>
      <c r="D24" s="149">
        <f>D19-D20</f>
        <v>25.2</v>
      </c>
      <c r="E24" s="149">
        <f>E19-E20</f>
        <v>13.5</v>
      </c>
      <c r="F24" s="178" t="s">
        <v>406</v>
      </c>
    </row>
    <row r="25" spans="1:9">
      <c r="A25" s="285" t="s">
        <v>409</v>
      </c>
      <c r="B25" s="149">
        <f>B15-0.13</f>
        <v>0.97000000000000008</v>
      </c>
      <c r="C25" s="149">
        <f>C15-0.13</f>
        <v>0.97000000000000008</v>
      </c>
      <c r="D25" s="149">
        <f>D15-0.13</f>
        <v>1.9700000000000002</v>
      </c>
      <c r="E25" s="149">
        <f>E15-0.13</f>
        <v>1.9700000000000002</v>
      </c>
      <c r="F25" s="178" t="s">
        <v>481</v>
      </c>
    </row>
    <row r="26" spans="1:9">
      <c r="A26" s="285" t="s">
        <v>410</v>
      </c>
      <c r="B26" s="149">
        <f>B25*B24</f>
        <v>31.719000000000005</v>
      </c>
      <c r="C26" s="149">
        <f>C25*C24</f>
        <v>17.169</v>
      </c>
      <c r="D26" s="149">
        <f>D25*D24</f>
        <v>49.644000000000005</v>
      </c>
      <c r="E26" s="149">
        <f>E25*E24</f>
        <v>26.595000000000002</v>
      </c>
      <c r="F26" s="178" t="s">
        <v>405</v>
      </c>
    </row>
    <row r="27" spans="1:9">
      <c r="A27" s="285" t="s">
        <v>411</v>
      </c>
      <c r="B27" s="149"/>
      <c r="C27" s="149">
        <f>B26-C26</f>
        <v>14.550000000000004</v>
      </c>
      <c r="D27" s="149"/>
      <c r="E27" s="149">
        <f>D26-E26</f>
        <v>23.049000000000003</v>
      </c>
      <c r="F27" s="178" t="s">
        <v>405</v>
      </c>
    </row>
    <row r="28" spans="1:9">
      <c r="A28" s="285" t="s">
        <v>418</v>
      </c>
      <c r="B28" s="280">
        <f>B26/(B18-B21)</f>
        <v>0.62809900990099021</v>
      </c>
      <c r="C28" s="280">
        <f>C26/(C18-C21)</f>
        <v>0.34545271629778673</v>
      </c>
      <c r="D28" s="280">
        <f>D26/(D18-D21)</f>
        <v>0.9677192982456142</v>
      </c>
      <c r="E28" s="280">
        <f>E26/(E18-E21)</f>
        <v>0.52872763419483104</v>
      </c>
      <c r="F28" s="178" t="s">
        <v>481</v>
      </c>
    </row>
    <row r="29" spans="1:9">
      <c r="A29" s="286"/>
      <c r="B29" s="149"/>
      <c r="C29" s="149"/>
      <c r="D29" s="149"/>
      <c r="E29" s="149"/>
      <c r="F29" s="178"/>
      <c r="H29" t="s">
        <v>62</v>
      </c>
      <c r="I29" t="s">
        <v>419</v>
      </c>
    </row>
    <row r="30" spans="1:9">
      <c r="A30" s="287" t="s">
        <v>408</v>
      </c>
      <c r="B30" s="149"/>
      <c r="C30" s="149"/>
      <c r="D30" s="149"/>
      <c r="E30" s="149"/>
      <c r="F30" s="178"/>
      <c r="H30">
        <v>0</v>
      </c>
      <c r="I30">
        <v>0</v>
      </c>
    </row>
    <row r="31" spans="1:9">
      <c r="A31" s="285" t="s">
        <v>597</v>
      </c>
      <c r="B31" s="149">
        <v>45</v>
      </c>
      <c r="C31" s="149">
        <f>B31</f>
        <v>45</v>
      </c>
      <c r="D31" s="149">
        <f>C31</f>
        <v>45</v>
      </c>
      <c r="E31" s="149">
        <f>D31</f>
        <v>45</v>
      </c>
      <c r="F31" s="178" t="s">
        <v>406</v>
      </c>
      <c r="H31">
        <f>C15</f>
        <v>1.1000000000000001</v>
      </c>
      <c r="I31" s="129">
        <f>C38</f>
        <v>15.545546148176189</v>
      </c>
    </row>
    <row r="32" spans="1:9">
      <c r="A32" s="285" t="s">
        <v>410</v>
      </c>
      <c r="B32" s="281">
        <f>B$28*B31</f>
        <v>28.264455445544559</v>
      </c>
      <c r="C32" s="281">
        <f>C$28*C31</f>
        <v>15.545372233400403</v>
      </c>
      <c r="D32" s="281">
        <f>D$28*D31</f>
        <v>43.547368421052639</v>
      </c>
      <c r="E32" s="281">
        <f>E$28*E31</f>
        <v>23.792743538767397</v>
      </c>
      <c r="F32" s="178" t="s">
        <v>405</v>
      </c>
      <c r="H32">
        <f>E15</f>
        <v>2.1</v>
      </c>
      <c r="I32" s="129">
        <f>E38</f>
        <v>24.144541522793073</v>
      </c>
    </row>
    <row r="33" spans="1:11">
      <c r="A33" s="285" t="s">
        <v>411</v>
      </c>
      <c r="B33" s="281"/>
      <c r="C33" s="282">
        <f>B32-C32</f>
        <v>12.719083212144156</v>
      </c>
      <c r="D33" s="281"/>
      <c r="E33" s="282">
        <f>D32-E32</f>
        <v>19.754624882285242</v>
      </c>
      <c r="F33" s="178" t="s">
        <v>405</v>
      </c>
    </row>
    <row r="34" spans="1:11">
      <c r="A34" s="286"/>
      <c r="B34" s="149"/>
      <c r="C34" s="149"/>
      <c r="D34" s="149"/>
      <c r="E34" s="149"/>
      <c r="F34" s="178"/>
    </row>
    <row r="35" spans="1:11" ht="17">
      <c r="A35" s="288" t="s">
        <v>412</v>
      </c>
      <c r="B35" s="149"/>
      <c r="C35" s="149"/>
      <c r="D35" s="149"/>
      <c r="E35" s="149"/>
      <c r="F35" s="178"/>
    </row>
    <row r="36" spans="1:11">
      <c r="A36" s="285" t="s">
        <v>598</v>
      </c>
      <c r="B36" s="149">
        <v>55</v>
      </c>
      <c r="C36" s="149">
        <v>55</v>
      </c>
      <c r="D36" s="149">
        <v>55</v>
      </c>
      <c r="E36" s="149">
        <v>55</v>
      </c>
      <c r="F36" s="178" t="s">
        <v>406</v>
      </c>
    </row>
    <row r="37" spans="1:11">
      <c r="A37" s="285" t="s">
        <v>410</v>
      </c>
      <c r="B37" s="281">
        <f>B$28*B36</f>
        <v>34.545445544554461</v>
      </c>
      <c r="C37" s="281">
        <f>C$28*C36</f>
        <v>18.999899396378272</v>
      </c>
      <c r="D37" s="281">
        <f>D$28*D36</f>
        <v>53.22456140350878</v>
      </c>
      <c r="E37" s="281">
        <f>E$28*E36</f>
        <v>29.080019880715707</v>
      </c>
      <c r="F37" s="178" t="s">
        <v>405</v>
      </c>
    </row>
    <row r="38" spans="1:11" ht="17" thickBot="1">
      <c r="A38" s="289" t="s">
        <v>411</v>
      </c>
      <c r="B38" s="283"/>
      <c r="C38" s="284">
        <f>B37-C37</f>
        <v>15.545546148176189</v>
      </c>
      <c r="D38" s="283"/>
      <c r="E38" s="284">
        <f>D37-E37</f>
        <v>24.144541522793073</v>
      </c>
      <c r="F38" s="180" t="s">
        <v>405</v>
      </c>
    </row>
    <row r="39" spans="1:11">
      <c r="K39" s="2"/>
    </row>
    <row r="41" spans="1:11" ht="51">
      <c r="A41" s="13" t="s">
        <v>815</v>
      </c>
    </row>
    <row r="42" spans="1:11" ht="34">
      <c r="A42" s="13" t="s">
        <v>556</v>
      </c>
    </row>
    <row r="43" spans="1:11" ht="34">
      <c r="A43" s="406"/>
      <c r="B43" s="407" t="s">
        <v>62</v>
      </c>
      <c r="C43" s="407" t="s">
        <v>419</v>
      </c>
      <c r="D43" s="408" t="s">
        <v>356</v>
      </c>
    </row>
    <row r="44" spans="1:11">
      <c r="A44" s="290" t="s">
        <v>557</v>
      </c>
      <c r="B44" s="149">
        <v>0.35</v>
      </c>
      <c r="C44" s="280">
        <f>-2.6349*B44*B44+17.031*B44</f>
        <v>5.6380747499999986</v>
      </c>
      <c r="D44" s="303">
        <v>0.16600000000000001</v>
      </c>
      <c r="E44" t="s">
        <v>230</v>
      </c>
    </row>
    <row r="45" spans="1:11">
      <c r="A45" s="290" t="s">
        <v>814</v>
      </c>
      <c r="B45" s="149">
        <v>0.65</v>
      </c>
      <c r="C45" s="280">
        <f>-2.6349*B45*B45+17.031*B45</f>
        <v>9.9569047499999996</v>
      </c>
      <c r="D45" s="303">
        <v>0.40699999999999997</v>
      </c>
      <c r="E45" t="s">
        <v>230</v>
      </c>
    </row>
    <row r="46" spans="1:11">
      <c r="A46" s="291" t="s">
        <v>555</v>
      </c>
      <c r="B46" s="409">
        <v>1.6</v>
      </c>
      <c r="C46" s="410">
        <f>-2.6349*B46*B46+17.031*B46</f>
        <v>20.504256000000002</v>
      </c>
      <c r="D46" s="304">
        <v>0.42699999999999999</v>
      </c>
      <c r="E46" t="s">
        <v>230</v>
      </c>
    </row>
    <row r="53" spans="1:9" ht="17">
      <c r="A53" s="297" t="s">
        <v>430</v>
      </c>
      <c r="B53" s="266" t="s">
        <v>41</v>
      </c>
      <c r="C53" s="266" t="s">
        <v>42</v>
      </c>
      <c r="D53" s="239" t="s">
        <v>43</v>
      </c>
    </row>
    <row r="54" spans="1:9">
      <c r="A54" s="290" t="s">
        <v>421</v>
      </c>
      <c r="B54" s="181">
        <v>3000</v>
      </c>
      <c r="C54" s="181">
        <v>1500</v>
      </c>
      <c r="D54" s="146">
        <v>1000</v>
      </c>
      <c r="E54" t="s">
        <v>133</v>
      </c>
      <c r="I54" s="128"/>
    </row>
    <row r="55" spans="1:9">
      <c r="A55" s="173" t="s">
        <v>420</v>
      </c>
      <c r="D55" s="51"/>
    </row>
    <row r="56" spans="1:9">
      <c r="A56" s="290" t="s">
        <v>700</v>
      </c>
      <c r="B56" s="298">
        <f t="shared" ref="B56:D58" si="0">$C44/B$54</f>
        <v>1.8793582499999995E-3</v>
      </c>
      <c r="C56" s="298">
        <f t="shared" si="0"/>
        <v>3.7587164999999989E-3</v>
      </c>
      <c r="D56" s="299">
        <f t="shared" si="0"/>
        <v>5.6380747499999986E-3</v>
      </c>
      <c r="E56" t="s">
        <v>431</v>
      </c>
    </row>
    <row r="57" spans="1:9">
      <c r="A57" s="290" t="s">
        <v>593</v>
      </c>
      <c r="B57" s="298">
        <f t="shared" si="0"/>
        <v>3.3189682499999997E-3</v>
      </c>
      <c r="C57" s="298">
        <f t="shared" si="0"/>
        <v>6.6379364999999994E-3</v>
      </c>
      <c r="D57" s="299">
        <f t="shared" si="0"/>
        <v>9.9569047500000004E-3</v>
      </c>
      <c r="E57" t="s">
        <v>431</v>
      </c>
    </row>
    <row r="58" spans="1:9">
      <c r="A58" s="291" t="s">
        <v>427</v>
      </c>
      <c r="B58" s="300">
        <f t="shared" si="0"/>
        <v>6.8347520000000004E-3</v>
      </c>
      <c r="C58" s="300">
        <f t="shared" si="0"/>
        <v>1.3669504000000001E-2</v>
      </c>
      <c r="D58" s="301">
        <f t="shared" si="0"/>
        <v>2.0504256000000002E-2</v>
      </c>
      <c r="E58" t="s">
        <v>431</v>
      </c>
    </row>
    <row r="60" spans="1:9" ht="17">
      <c r="A60" s="297" t="s">
        <v>428</v>
      </c>
      <c r="B60" s="266" t="s">
        <v>41</v>
      </c>
      <c r="C60" s="266" t="s">
        <v>42</v>
      </c>
      <c r="D60" s="239" t="s">
        <v>43</v>
      </c>
    </row>
    <row r="61" spans="1:9" ht="17">
      <c r="A61" s="269" t="s">
        <v>429</v>
      </c>
      <c r="B61" s="227">
        <v>0.5</v>
      </c>
      <c r="C61" s="227">
        <v>0.8</v>
      </c>
      <c r="D61" s="303">
        <v>0.9</v>
      </c>
      <c r="E61" t="s">
        <v>438</v>
      </c>
    </row>
    <row r="62" spans="1:9" ht="17">
      <c r="A62" s="269" t="s">
        <v>560</v>
      </c>
      <c r="B62" s="227">
        <v>0.1</v>
      </c>
      <c r="C62" s="227">
        <v>0.05</v>
      </c>
      <c r="D62" s="303">
        <v>0.02</v>
      </c>
      <c r="E62" t="s">
        <v>561</v>
      </c>
    </row>
    <row r="63" spans="1:9" ht="17">
      <c r="A63" s="270" t="s">
        <v>440</v>
      </c>
      <c r="B63" s="229">
        <v>0.8</v>
      </c>
      <c r="C63" s="229">
        <v>1</v>
      </c>
      <c r="D63" s="304">
        <v>1.2</v>
      </c>
      <c r="E63" t="s">
        <v>441</v>
      </c>
    </row>
    <row r="64" spans="1:9" ht="17">
      <c r="A64" s="451" t="s">
        <v>562</v>
      </c>
      <c r="B64" s="452">
        <f>B61*(1-B62)*B63</f>
        <v>0.36000000000000004</v>
      </c>
      <c r="C64" s="452">
        <f>C61*(1-C62)*C63</f>
        <v>0.76</v>
      </c>
      <c r="D64" s="453">
        <f>D61*(1-D62)*D63</f>
        <v>1.0584</v>
      </c>
    </row>
    <row r="67" spans="1:14" ht="17.25" customHeight="1">
      <c r="A67" s="225" t="s">
        <v>444</v>
      </c>
      <c r="B67" s="171" t="s">
        <v>308</v>
      </c>
      <c r="C67" s="172"/>
      <c r="D67" s="172"/>
      <c r="E67" s="171" t="s">
        <v>352</v>
      </c>
      <c r="F67" s="172"/>
      <c r="G67" s="174"/>
      <c r="I67" s="923"/>
      <c r="J67" s="924"/>
      <c r="K67" s="19"/>
      <c r="L67" s="19"/>
      <c r="M67" s="923"/>
    </row>
    <row r="68" spans="1:14">
      <c r="A68" s="18"/>
      <c r="B68" s="173" t="s">
        <v>193</v>
      </c>
      <c r="C68" s="136" t="s">
        <v>194</v>
      </c>
      <c r="D68" s="136" t="s">
        <v>195</v>
      </c>
      <c r="E68" s="173" t="s">
        <v>193</v>
      </c>
      <c r="F68" s="136" t="s">
        <v>194</v>
      </c>
      <c r="G68" s="175" t="s">
        <v>195</v>
      </c>
      <c r="I68" s="923"/>
      <c r="J68" s="924"/>
      <c r="K68" s="19"/>
      <c r="L68" s="19"/>
      <c r="M68" s="923"/>
    </row>
    <row r="69" spans="1:14" ht="17">
      <c r="A69" s="18" t="s">
        <v>439</v>
      </c>
      <c r="B69" s="305">
        <f t="shared" ref="B69:D71" si="1">B56*MeanDomesticGasBill*gasBillPropSpace*B$64</f>
        <v>6.4726713122036807</v>
      </c>
      <c r="C69" s="306">
        <f t="shared" si="1"/>
        <v>27.329056651526649</v>
      </c>
      <c r="D69" s="306">
        <f t="shared" si="1"/>
        <v>57.088960973636453</v>
      </c>
      <c r="E69" s="305">
        <f>B56*MeanDomesticOilBill*gasBillPropSpace*'Radiator foil'!B$64</f>
        <v>10.83093318605132</v>
      </c>
      <c r="F69" s="306">
        <f>C56*MeanDomesticOilBill*gasBillPropSpace*'Radiator foil'!C$64</f>
        <v>45.730606785550016</v>
      </c>
      <c r="G69" s="413">
        <f>D56*MeanDomesticOilBill*gasBillPropSpace*'Radiator foil'!D$64</f>
        <v>95.52883070097262</v>
      </c>
      <c r="K69" s="126"/>
      <c r="L69" s="126"/>
      <c r="M69" s="125"/>
    </row>
    <row r="70" spans="1:14">
      <c r="A70" s="12" t="s">
        <v>426</v>
      </c>
      <c r="B70" s="305">
        <f t="shared" si="1"/>
        <v>11.430811862448184</v>
      </c>
      <c r="C70" s="306">
        <f t="shared" si="1"/>
        <v>48.263427863670103</v>
      </c>
      <c r="D70" s="306">
        <f t="shared" si="1"/>
        <v>100.81976062679297</v>
      </c>
      <c r="E70" s="305">
        <f>B57*MeanDomesticOilBill*gasBillPropSpace*'Radiator foil'!B$64</f>
        <v>19.127552377188159</v>
      </c>
      <c r="F70" s="306">
        <f>C57*MeanDomesticOilBill*gasBillPropSpace*'Radiator foil'!C$64</f>
        <v>80.760776703683334</v>
      </c>
      <c r="G70" s="413">
        <f>D57*MeanDomesticOilBill*gasBillPropSpace*'Radiator foil'!D$64</f>
        <v>168.70501196679956</v>
      </c>
      <c r="K70" s="126"/>
      <c r="L70" s="126"/>
      <c r="M70" s="125"/>
    </row>
    <row r="71" spans="1:14">
      <c r="A71" s="12" t="s">
        <v>594</v>
      </c>
      <c r="B71" s="307">
        <f t="shared" si="1"/>
        <v>23.539473219875322</v>
      </c>
      <c r="C71" s="308">
        <f t="shared" si="1"/>
        <v>99.388886928362467</v>
      </c>
      <c r="D71" s="308">
        <f t="shared" si="1"/>
        <v>207.6181537993003</v>
      </c>
      <c r="E71" s="307">
        <f>B58*MeanDomesticOilBill*gasBillPropSpace*'Radiator foil'!B$64</f>
        <v>39.389372545245514</v>
      </c>
      <c r="F71" s="308">
        <f>C58*MeanDomesticOilBill*gasBillPropSpace*'Radiator foil'!C$64</f>
        <v>166.31068407992549</v>
      </c>
      <c r="G71" s="414">
        <f>D58*MeanDomesticOilBill*gasBillPropSpace*'Radiator foil'!D$64</f>
        <v>347.41426584906537</v>
      </c>
      <c r="K71" s="126"/>
      <c r="L71" s="126"/>
      <c r="M71" s="125"/>
    </row>
    <row r="72" spans="1:14">
      <c r="N72" s="125"/>
    </row>
    <row r="73" spans="1:14" ht="17.25" customHeight="1">
      <c r="A73" s="302" t="s">
        <v>595</v>
      </c>
      <c r="B73" s="171" t="s">
        <v>308</v>
      </c>
      <c r="C73" s="172"/>
      <c r="D73" s="172"/>
      <c r="E73" s="171" t="s">
        <v>352</v>
      </c>
      <c r="F73" s="172"/>
      <c r="G73" s="174"/>
      <c r="H73" s="19"/>
      <c r="I73" s="923"/>
      <c r="J73" s="924"/>
      <c r="K73" s="19"/>
      <c r="L73" s="19"/>
      <c r="M73" s="923"/>
    </row>
    <row r="74" spans="1:14">
      <c r="A74" s="269"/>
      <c r="B74" s="173" t="s">
        <v>193</v>
      </c>
      <c r="C74" s="136" t="s">
        <v>194</v>
      </c>
      <c r="D74" s="136" t="s">
        <v>195</v>
      </c>
      <c r="E74" s="173" t="s">
        <v>193</v>
      </c>
      <c r="F74" s="136" t="s">
        <v>194</v>
      </c>
      <c r="G74" s="175" t="s">
        <v>195</v>
      </c>
      <c r="H74" s="19"/>
      <c r="I74" s="923"/>
      <c r="J74" s="924"/>
      <c r="K74" s="19"/>
      <c r="L74" s="19"/>
      <c r="M74" s="923"/>
    </row>
    <row r="75" spans="1:14" ht="17">
      <c r="A75" s="269" t="s">
        <v>439</v>
      </c>
      <c r="B75" s="295">
        <f t="shared" ref="B75:D77" si="2">B69*gasPriceP/100</f>
        <v>0.66668514515697919</v>
      </c>
      <c r="C75" s="293">
        <f t="shared" si="2"/>
        <v>2.8148928351072455</v>
      </c>
      <c r="D75" s="293">
        <f t="shared" si="2"/>
        <v>5.8801629802845552</v>
      </c>
      <c r="E75" s="295">
        <f t="shared" ref="E75:G77" si="3">E69*oilPriceP/100</f>
        <v>1.0464669744977122</v>
      </c>
      <c r="F75" s="293">
        <f t="shared" si="3"/>
        <v>4.4184161145458951</v>
      </c>
      <c r="G75" s="411">
        <f t="shared" si="3"/>
        <v>9.2298387150698176</v>
      </c>
      <c r="H75" s="190"/>
      <c r="I75" s="125"/>
      <c r="J75" s="125"/>
      <c r="K75" s="190"/>
      <c r="L75" s="190"/>
      <c r="M75" s="125"/>
    </row>
    <row r="76" spans="1:14">
      <c r="A76" s="290" t="s">
        <v>593</v>
      </c>
      <c r="B76" s="295">
        <f t="shared" si="2"/>
        <v>1.1773736218321631</v>
      </c>
      <c r="C76" s="293">
        <f t="shared" si="2"/>
        <v>4.9711330699580207</v>
      </c>
      <c r="D76" s="293">
        <f t="shared" si="2"/>
        <v>10.384435344559677</v>
      </c>
      <c r="E76" s="295">
        <f t="shared" si="3"/>
        <v>1.8480726934481313</v>
      </c>
      <c r="F76" s="293">
        <f t="shared" si="3"/>
        <v>7.8029735945587761</v>
      </c>
      <c r="G76" s="411">
        <f t="shared" si="3"/>
        <v>16.300001156212517</v>
      </c>
      <c r="H76" s="190"/>
      <c r="I76" s="125"/>
      <c r="J76" s="125"/>
      <c r="K76" s="190"/>
      <c r="L76" s="190"/>
      <c r="M76" s="125"/>
    </row>
    <row r="77" spans="1:14">
      <c r="A77" s="291" t="s">
        <v>427</v>
      </c>
      <c r="B77" s="296">
        <f t="shared" si="2"/>
        <v>2.4245657416471587</v>
      </c>
      <c r="C77" s="294">
        <f t="shared" si="2"/>
        <v>10.237055353621335</v>
      </c>
      <c r="D77" s="294">
        <f t="shared" si="2"/>
        <v>21.384669841327931</v>
      </c>
      <c r="E77" s="296">
        <f t="shared" si="3"/>
        <v>3.8057364778014988</v>
      </c>
      <c r="F77" s="294">
        <f t="shared" si="3"/>
        <v>16.068665128495219</v>
      </c>
      <c r="G77" s="412">
        <f t="shared" si="3"/>
        <v>33.566595734209216</v>
      </c>
      <c r="H77" s="190"/>
      <c r="I77" s="125"/>
      <c r="J77" s="125"/>
      <c r="K77" s="190"/>
      <c r="L77" s="190"/>
      <c r="M77" s="125"/>
    </row>
    <row r="78" spans="1:14">
      <c r="A78"/>
      <c r="N78" s="125"/>
    </row>
    <row r="79" spans="1:14">
      <c r="A79" s="171" t="s">
        <v>47</v>
      </c>
      <c r="B79" s="171" t="s">
        <v>308</v>
      </c>
      <c r="C79" s="172"/>
      <c r="D79" s="174"/>
      <c r="E79" s="171" t="s">
        <v>352</v>
      </c>
      <c r="F79" s="172"/>
      <c r="G79" s="174"/>
      <c r="H79" s="172" t="s">
        <v>236</v>
      </c>
      <c r="I79" s="172"/>
      <c r="J79" s="174"/>
      <c r="N79" s="125"/>
    </row>
    <row r="80" spans="1:14">
      <c r="A80" s="173" t="s">
        <v>553</v>
      </c>
      <c r="B80" s="450" t="s">
        <v>193</v>
      </c>
      <c r="C80" s="199" t="s">
        <v>194</v>
      </c>
      <c r="D80" s="200" t="s">
        <v>195</v>
      </c>
      <c r="E80" s="450" t="s">
        <v>193</v>
      </c>
      <c r="F80" s="199" t="s">
        <v>194</v>
      </c>
      <c r="G80" s="200" t="s">
        <v>195</v>
      </c>
      <c r="H80" s="199" t="s">
        <v>193</v>
      </c>
      <c r="I80" s="199" t="s">
        <v>194</v>
      </c>
      <c r="J80" s="200" t="s">
        <v>195</v>
      </c>
      <c r="N80" s="125"/>
    </row>
    <row r="81" spans="1:20">
      <c r="A81" s="290" t="s">
        <v>439</v>
      </c>
      <c r="B81" s="358">
        <f>C81*0.9</f>
        <v>0.12483816465723532</v>
      </c>
      <c r="C81" s="359">
        <f>D44*propHomesGasHeating</f>
        <v>0.13870907184137257</v>
      </c>
      <c r="D81" s="360">
        <f>C81*1.1</f>
        <v>0.15257997902550985</v>
      </c>
      <c r="E81" s="358">
        <f>F81*0.8</f>
        <v>7.12353845565321E-3</v>
      </c>
      <c r="F81" s="359">
        <f>D44*propHomesOilHeating</f>
        <v>8.9044230695665121E-3</v>
      </c>
      <c r="G81" s="360">
        <f>F81*1.1</f>
        <v>9.7948653765231649E-3</v>
      </c>
      <c r="H81" s="359">
        <f t="shared" ref="H81:J83" si="4">B81+E81</f>
        <v>0.13196170311288855</v>
      </c>
      <c r="I81" s="359">
        <f t="shared" si="4"/>
        <v>0.14761349491093909</v>
      </c>
      <c r="J81" s="360">
        <f t="shared" si="4"/>
        <v>0.16237484440203301</v>
      </c>
      <c r="K81" t="s">
        <v>554</v>
      </c>
      <c r="N81" s="125"/>
    </row>
    <row r="82" spans="1:20">
      <c r="A82" s="290" t="s">
        <v>593</v>
      </c>
      <c r="B82" s="358">
        <f>C82*0.8</f>
        <v>0.27207032404548737</v>
      </c>
      <c r="C82" s="359">
        <f>D45*propHomesGasHeating</f>
        <v>0.34008790505685921</v>
      </c>
      <c r="D82" s="360">
        <f t="shared" ref="D82:D83" si="5">C82*1.1</f>
        <v>0.37409669556254516</v>
      </c>
      <c r="E82" s="358">
        <f>F82*0.8</f>
        <v>1.7465543081029253E-2</v>
      </c>
      <c r="F82" s="359">
        <f>D45*propHomesOilHeating</f>
        <v>2.1831928851286566E-2</v>
      </c>
      <c r="G82" s="360">
        <f t="shared" ref="G82:G83" si="6">F82*1.1</f>
        <v>2.4015121736415224E-2</v>
      </c>
      <c r="H82" s="359">
        <f t="shared" si="4"/>
        <v>0.28953586712651663</v>
      </c>
      <c r="I82" s="359">
        <f t="shared" si="4"/>
        <v>0.36191983390814575</v>
      </c>
      <c r="J82" s="360">
        <f t="shared" si="4"/>
        <v>0.39811181729896039</v>
      </c>
      <c r="K82" t="s">
        <v>554</v>
      </c>
      <c r="N82" s="125"/>
    </row>
    <row r="83" spans="1:20">
      <c r="A83" s="291" t="s">
        <v>427</v>
      </c>
      <c r="B83" s="356">
        <f>C83*0.8</f>
        <v>0.28543987313863173</v>
      </c>
      <c r="C83" s="361">
        <f>D46*propHomesGasHeating</f>
        <v>0.35679984142328963</v>
      </c>
      <c r="D83" s="357">
        <f t="shared" si="5"/>
        <v>0.39247982556561861</v>
      </c>
      <c r="E83" s="356">
        <f>F83*0.8</f>
        <v>1.832380072628868E-2</v>
      </c>
      <c r="F83" s="361">
        <f>D46*propHomesOilHeating</f>
        <v>2.2904750907860847E-2</v>
      </c>
      <c r="G83" s="357">
        <f t="shared" si="6"/>
        <v>2.5195225998646934E-2</v>
      </c>
      <c r="H83" s="361">
        <f t="shared" si="4"/>
        <v>0.30376367386492042</v>
      </c>
      <c r="I83" s="361">
        <f t="shared" si="4"/>
        <v>0.3797045923311505</v>
      </c>
      <c r="J83" s="357">
        <f t="shared" si="4"/>
        <v>0.41767505156426554</v>
      </c>
      <c r="K83" t="s">
        <v>554</v>
      </c>
      <c r="N83" s="125"/>
    </row>
    <row r="84" spans="1:20">
      <c r="A84"/>
      <c r="N84" s="125"/>
    </row>
    <row r="86" spans="1:20" ht="17">
      <c r="A86" s="17" t="s">
        <v>354</v>
      </c>
      <c r="B86" s="907" t="s">
        <v>682</v>
      </c>
      <c r="C86" s="908"/>
      <c r="D86" s="908"/>
      <c r="E86" s="908"/>
      <c r="F86" s="908"/>
      <c r="G86" s="908"/>
      <c r="H86" s="908"/>
      <c r="I86" s="908"/>
      <c r="J86" s="909"/>
      <c r="K86" s="907" t="s">
        <v>689</v>
      </c>
      <c r="L86" s="908"/>
      <c r="M86" s="908"/>
      <c r="N86" s="908"/>
      <c r="O86" s="908"/>
      <c r="P86" s="908"/>
      <c r="Q86" s="908"/>
      <c r="R86" s="908"/>
      <c r="S86" s="909"/>
      <c r="T86" s="551" t="s">
        <v>684</v>
      </c>
    </row>
    <row r="87" spans="1:20">
      <c r="A87" s="11"/>
      <c r="B87" s="171" t="s">
        <v>308</v>
      </c>
      <c r="C87" s="172"/>
      <c r="D87" s="174"/>
      <c r="E87" s="171" t="s">
        <v>352</v>
      </c>
      <c r="F87" s="172"/>
      <c r="G87" s="174"/>
      <c r="H87" s="520" t="s">
        <v>353</v>
      </c>
      <c r="I87" s="521"/>
      <c r="J87" s="522"/>
      <c r="K87" s="171" t="s">
        <v>308</v>
      </c>
      <c r="L87" s="172"/>
      <c r="M87" s="174"/>
      <c r="N87" s="171" t="s">
        <v>352</v>
      </c>
      <c r="O87" s="172"/>
      <c r="P87" s="174"/>
      <c r="Q87" s="520" t="s">
        <v>353</v>
      </c>
      <c r="R87" s="521"/>
      <c r="S87" s="522"/>
      <c r="T87" s="161"/>
    </row>
    <row r="88" spans="1:20">
      <c r="A88" s="225"/>
      <c r="B88" s="173" t="s">
        <v>41</v>
      </c>
      <c r="C88" s="224" t="s">
        <v>42</v>
      </c>
      <c r="D88" s="46" t="s">
        <v>43</v>
      </c>
      <c r="E88" s="173" t="s">
        <v>41</v>
      </c>
      <c r="F88" s="224" t="s">
        <v>42</v>
      </c>
      <c r="G88" s="46" t="s">
        <v>43</v>
      </c>
      <c r="H88" s="173" t="s">
        <v>41</v>
      </c>
      <c r="I88" s="224" t="s">
        <v>42</v>
      </c>
      <c r="J88" s="46" t="s">
        <v>43</v>
      </c>
      <c r="K88" s="173" t="s">
        <v>41</v>
      </c>
      <c r="L88" s="224" t="s">
        <v>42</v>
      </c>
      <c r="M88" s="46" t="s">
        <v>43</v>
      </c>
      <c r="N88" s="173" t="s">
        <v>41</v>
      </c>
      <c r="O88" s="224" t="s">
        <v>42</v>
      </c>
      <c r="P88" s="46" t="s">
        <v>43</v>
      </c>
      <c r="Q88" s="173" t="s">
        <v>41</v>
      </c>
      <c r="R88" s="224" t="s">
        <v>42</v>
      </c>
      <c r="S88" s="46" t="s">
        <v>43</v>
      </c>
      <c r="T88" s="161"/>
    </row>
    <row r="89" spans="1:20" ht="17">
      <c r="A89" s="18" t="str">
        <f>A69</f>
        <v>Modern cavity wall</v>
      </c>
      <c r="B89" s="549">
        <f>B69</f>
        <v>6.4726713122036807</v>
      </c>
      <c r="C89" s="471">
        <f t="shared" ref="C89:G89" si="7">C69</f>
        <v>27.329056651526649</v>
      </c>
      <c r="D89" s="544">
        <f t="shared" si="7"/>
        <v>57.088960973636453</v>
      </c>
      <c r="E89" s="549">
        <f t="shared" si="7"/>
        <v>10.83093318605132</v>
      </c>
      <c r="F89" s="471">
        <f t="shared" si="7"/>
        <v>45.730606785550016</v>
      </c>
      <c r="G89" s="544">
        <f t="shared" si="7"/>
        <v>95.52883070097262</v>
      </c>
      <c r="H89" s="549">
        <f t="shared" ref="H89:J89" si="8">H56</f>
        <v>0</v>
      </c>
      <c r="I89" s="471">
        <f t="shared" si="8"/>
        <v>0</v>
      </c>
      <c r="J89" s="544">
        <f t="shared" si="8"/>
        <v>0</v>
      </c>
      <c r="K89" s="549">
        <f t="shared" ref="K89:P91" si="9">B81*numberDwellingsUK/1000</f>
        <v>3514.6710920519999</v>
      </c>
      <c r="L89" s="471">
        <f t="shared" si="9"/>
        <v>3905.1901022800002</v>
      </c>
      <c r="M89" s="544">
        <f t="shared" si="9"/>
        <v>4295.7091125080005</v>
      </c>
      <c r="N89" s="549">
        <f t="shared" si="9"/>
        <v>200.55481232</v>
      </c>
      <c r="O89" s="471">
        <f t="shared" si="9"/>
        <v>250.6935154</v>
      </c>
      <c r="P89" s="544">
        <f t="shared" si="9"/>
        <v>275.76286694000004</v>
      </c>
      <c r="Q89" s="549">
        <f t="shared" ref="Q89:S91" si="10">H69*numberDwellingsUK/1000</f>
        <v>0</v>
      </c>
      <c r="R89" s="471">
        <f t="shared" si="10"/>
        <v>0</v>
      </c>
      <c r="S89" s="544">
        <f t="shared" si="10"/>
        <v>0</v>
      </c>
      <c r="T89" s="405" t="s">
        <v>301</v>
      </c>
    </row>
    <row r="90" spans="1:20" ht="17">
      <c r="A90" s="18" t="str">
        <f t="shared" ref="A90:G91" si="11">A70</f>
        <v>retrofit filled cavity</v>
      </c>
      <c r="B90" s="549">
        <f t="shared" si="11"/>
        <v>11.430811862448184</v>
      </c>
      <c r="C90" s="471">
        <f t="shared" si="11"/>
        <v>48.263427863670103</v>
      </c>
      <c r="D90" s="544">
        <f t="shared" si="11"/>
        <v>100.81976062679297</v>
      </c>
      <c r="E90" s="549">
        <f t="shared" si="11"/>
        <v>19.127552377188159</v>
      </c>
      <c r="F90" s="471">
        <f t="shared" si="11"/>
        <v>80.760776703683334</v>
      </c>
      <c r="G90" s="544">
        <f t="shared" si="11"/>
        <v>168.70501196679956</v>
      </c>
      <c r="H90" s="549">
        <f t="shared" ref="H90:J91" si="12">H57</f>
        <v>0</v>
      </c>
      <c r="I90" s="471">
        <f t="shared" si="12"/>
        <v>0</v>
      </c>
      <c r="J90" s="544">
        <f t="shared" si="12"/>
        <v>0</v>
      </c>
      <c r="K90" s="549">
        <f t="shared" si="9"/>
        <v>7659.818658448</v>
      </c>
      <c r="L90" s="471">
        <f t="shared" si="9"/>
        <v>9574.7733230599988</v>
      </c>
      <c r="M90" s="544">
        <f t="shared" si="9"/>
        <v>10532.250655366001</v>
      </c>
      <c r="N90" s="549">
        <f t="shared" si="9"/>
        <v>491.72173863999996</v>
      </c>
      <c r="O90" s="471">
        <f t="shared" si="9"/>
        <v>614.65217329999996</v>
      </c>
      <c r="P90" s="544">
        <f t="shared" si="9"/>
        <v>676.11739062999993</v>
      </c>
      <c r="Q90" s="549">
        <f t="shared" si="10"/>
        <v>0</v>
      </c>
      <c r="R90" s="471">
        <f t="shared" si="10"/>
        <v>0</v>
      </c>
      <c r="S90" s="544">
        <f t="shared" si="10"/>
        <v>0</v>
      </c>
      <c r="T90" s="405" t="s">
        <v>301</v>
      </c>
    </row>
    <row r="91" spans="1:20" ht="17">
      <c r="A91" s="18" t="str">
        <f t="shared" si="11"/>
        <v>Solid or unfilled cavity</v>
      </c>
      <c r="B91" s="557">
        <f t="shared" si="11"/>
        <v>23.539473219875322</v>
      </c>
      <c r="C91" s="474">
        <f t="shared" si="11"/>
        <v>99.388886928362467</v>
      </c>
      <c r="D91" s="545">
        <f t="shared" si="11"/>
        <v>207.6181537993003</v>
      </c>
      <c r="E91" s="557">
        <f t="shared" si="11"/>
        <v>39.389372545245514</v>
      </c>
      <c r="F91" s="474">
        <f t="shared" si="11"/>
        <v>166.31068407992549</v>
      </c>
      <c r="G91" s="545">
        <f t="shared" si="11"/>
        <v>347.41426584906537</v>
      </c>
      <c r="H91" s="557">
        <f t="shared" si="12"/>
        <v>0</v>
      </c>
      <c r="I91" s="474">
        <f t="shared" si="12"/>
        <v>0</v>
      </c>
      <c r="J91" s="545">
        <f t="shared" si="12"/>
        <v>0</v>
      </c>
      <c r="K91" s="557">
        <f t="shared" si="9"/>
        <v>8036.2225237279999</v>
      </c>
      <c r="L91" s="474">
        <f t="shared" si="9"/>
        <v>10045.27815466</v>
      </c>
      <c r="M91" s="545">
        <f t="shared" si="9"/>
        <v>11049.805970125999</v>
      </c>
      <c r="N91" s="557">
        <f t="shared" si="9"/>
        <v>515.8849690400001</v>
      </c>
      <c r="O91" s="474">
        <f t="shared" si="9"/>
        <v>644.85621129999993</v>
      </c>
      <c r="P91" s="545">
        <f t="shared" si="9"/>
        <v>709.34183243000007</v>
      </c>
      <c r="Q91" s="557">
        <f t="shared" si="10"/>
        <v>0</v>
      </c>
      <c r="R91" s="474">
        <f t="shared" si="10"/>
        <v>0</v>
      </c>
      <c r="S91" s="545">
        <f t="shared" si="10"/>
        <v>0</v>
      </c>
      <c r="T91" s="309" t="s">
        <v>301</v>
      </c>
    </row>
  </sheetData>
  <sheetProtection sheet="1" objects="1" scenarios="1"/>
  <mergeCells count="8">
    <mergeCell ref="B86:J86"/>
    <mergeCell ref="K86:S86"/>
    <mergeCell ref="I67:I68"/>
    <mergeCell ref="M67:M68"/>
    <mergeCell ref="J67:J68"/>
    <mergeCell ref="I73:I74"/>
    <mergeCell ref="M73:M74"/>
    <mergeCell ref="J73:J7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T45"/>
  <sheetViews>
    <sheetView workbookViewId="0">
      <selection activeCell="D1" sqref="D1:D2"/>
    </sheetView>
  </sheetViews>
  <sheetFormatPr baseColWidth="10" defaultColWidth="10.5" defaultRowHeight="16"/>
  <cols>
    <col min="1" max="1" width="51" style="13" customWidth="1"/>
    <col min="2" max="2" width="11" customWidth="1"/>
    <col min="9" max="9" width="12" bestFit="1" customWidth="1"/>
    <col min="10" max="10" width="14.5" bestFit="1" customWidth="1"/>
    <col min="11" max="11" width="16.33203125" customWidth="1"/>
    <col min="12" max="12" width="12" customWidth="1"/>
  </cols>
  <sheetData>
    <row r="1" spans="1:9" ht="34">
      <c r="A1" s="15" t="s">
        <v>711</v>
      </c>
      <c r="B1" s="16"/>
      <c r="C1" s="16"/>
      <c r="D1" s="16"/>
    </row>
    <row r="2" spans="1:9" ht="34">
      <c r="A2" s="15" t="s">
        <v>712</v>
      </c>
      <c r="B2" s="16"/>
      <c r="C2" s="16"/>
      <c r="D2" s="16"/>
    </row>
    <row r="3" spans="1:9" ht="170">
      <c r="A3" s="13" t="s">
        <v>713</v>
      </c>
    </row>
    <row r="4" spans="1:9" ht="85">
      <c r="A4" s="13" t="s">
        <v>714</v>
      </c>
    </row>
    <row r="5" spans="1:9" ht="204">
      <c r="A5" s="13" t="s">
        <v>715</v>
      </c>
    </row>
    <row r="6" spans="1:9" ht="68">
      <c r="A6" s="13" t="s">
        <v>716</v>
      </c>
    </row>
    <row r="7" spans="1:9" ht="68">
      <c r="A7" s="13" t="s">
        <v>717</v>
      </c>
    </row>
    <row r="8" spans="1:9" ht="187">
      <c r="A8" s="13" t="s">
        <v>718</v>
      </c>
    </row>
    <row r="10" spans="1:9" ht="34">
      <c r="A10" s="13" t="s">
        <v>649</v>
      </c>
    </row>
    <row r="11" spans="1:9" s="13" customFormat="1" ht="34">
      <c r="A11" s="699"/>
      <c r="B11" s="700"/>
      <c r="C11" s="701" t="s">
        <v>640</v>
      </c>
      <c r="D11" s="701" t="s">
        <v>721</v>
      </c>
      <c r="E11" s="701" t="s">
        <v>722</v>
      </c>
      <c r="F11" s="701" t="s">
        <v>642</v>
      </c>
      <c r="G11" s="701" t="s">
        <v>643</v>
      </c>
      <c r="H11" s="702" t="s">
        <v>652</v>
      </c>
    </row>
    <row r="12" spans="1:9" ht="17">
      <c r="A12" s="703" t="s">
        <v>650</v>
      </c>
      <c r="B12" s="704" t="s">
        <v>308</v>
      </c>
      <c r="C12" s="705">
        <v>0</v>
      </c>
      <c r="D12" s="705">
        <v>5.0000000000000001E-3</v>
      </c>
      <c r="E12" s="705">
        <v>1.4E-2</v>
      </c>
      <c r="F12" s="704"/>
      <c r="G12" s="704"/>
      <c r="H12" s="706" t="s">
        <v>23</v>
      </c>
      <c r="I12" t="s">
        <v>719</v>
      </c>
    </row>
    <row r="13" spans="1:9" ht="17">
      <c r="A13" s="703" t="s">
        <v>650</v>
      </c>
      <c r="B13" s="704" t="s">
        <v>352</v>
      </c>
      <c r="C13" s="705">
        <v>0</v>
      </c>
      <c r="D13" s="705"/>
      <c r="E13" s="705">
        <v>1.0999999999999999E-2</v>
      </c>
      <c r="F13" s="704"/>
      <c r="G13" s="704"/>
      <c r="H13" s="706" t="s">
        <v>23</v>
      </c>
      <c r="I13" t="s">
        <v>697</v>
      </c>
    </row>
    <row r="14" spans="1:9" ht="17">
      <c r="A14" s="703" t="s">
        <v>651</v>
      </c>
      <c r="B14" s="704" t="s">
        <v>308</v>
      </c>
      <c r="C14" s="705">
        <v>0.1</v>
      </c>
      <c r="D14" s="705">
        <v>0.12</v>
      </c>
      <c r="E14" s="705" t="s">
        <v>301</v>
      </c>
      <c r="F14" s="704"/>
      <c r="G14" s="704"/>
      <c r="H14" s="706" t="s">
        <v>630</v>
      </c>
      <c r="I14" t="s">
        <v>655</v>
      </c>
    </row>
    <row r="15" spans="1:9" ht="17">
      <c r="A15" s="703" t="s">
        <v>725</v>
      </c>
      <c r="B15" s="704" t="s">
        <v>308</v>
      </c>
      <c r="C15" s="705">
        <v>0.04</v>
      </c>
      <c r="D15" s="705">
        <v>0.08</v>
      </c>
      <c r="E15" s="705">
        <v>0.05</v>
      </c>
      <c r="F15" s="704"/>
      <c r="G15" s="704"/>
      <c r="H15" s="706" t="s">
        <v>630</v>
      </c>
    </row>
    <row r="16" spans="1:9" ht="17">
      <c r="A16" s="703" t="s">
        <v>654</v>
      </c>
      <c r="B16" s="704" t="s">
        <v>308</v>
      </c>
      <c r="C16" s="705">
        <v>0.01</v>
      </c>
      <c r="D16" s="705">
        <v>0.02</v>
      </c>
      <c r="E16" s="705">
        <v>0.03</v>
      </c>
      <c r="F16" s="704"/>
      <c r="G16" s="704"/>
      <c r="H16" s="706" t="s">
        <v>638</v>
      </c>
      <c r="I16" t="s">
        <v>720</v>
      </c>
    </row>
    <row r="17" spans="1:9" ht="17">
      <c r="A17" s="707" t="s">
        <v>646</v>
      </c>
      <c r="B17" s="708" t="s">
        <v>308</v>
      </c>
      <c r="C17" s="709"/>
      <c r="D17" s="709"/>
      <c r="E17" s="709"/>
      <c r="F17" s="709" t="s">
        <v>644</v>
      </c>
      <c r="G17" s="709" t="s">
        <v>645</v>
      </c>
      <c r="H17" s="710" t="s">
        <v>641</v>
      </c>
    </row>
    <row r="20" spans="1:9" ht="17">
      <c r="A20" s="476" t="s">
        <v>653</v>
      </c>
      <c r="B20" s="60" t="s">
        <v>41</v>
      </c>
      <c r="C20" s="58" t="s">
        <v>42</v>
      </c>
      <c r="D20" s="59" t="s">
        <v>43</v>
      </c>
    </row>
    <row r="21" spans="1:9" ht="20.25" customHeight="1">
      <c r="A21" s="468" t="s">
        <v>627</v>
      </c>
      <c r="B21" s="247">
        <v>0.03</v>
      </c>
      <c r="C21" s="248">
        <v>6.5000000000000002E-2</v>
      </c>
      <c r="D21" s="249">
        <v>0.1</v>
      </c>
      <c r="E21" t="s">
        <v>724</v>
      </c>
      <c r="F21" s="21"/>
    </row>
    <row r="22" spans="1:9" ht="17">
      <c r="A22" s="269" t="s">
        <v>628</v>
      </c>
      <c r="B22" s="247">
        <v>5.0000000000000001E-3</v>
      </c>
      <c r="C22" s="248">
        <v>0.05</v>
      </c>
      <c r="D22" s="249">
        <v>0.08</v>
      </c>
      <c r="E22" t="s">
        <v>723</v>
      </c>
    </row>
    <row r="23" spans="1:9" ht="17">
      <c r="A23" s="270" t="s">
        <v>629</v>
      </c>
      <c r="B23" s="558">
        <v>1.4E-2</v>
      </c>
      <c r="C23" s="251">
        <v>0.03</v>
      </c>
      <c r="D23" s="252">
        <v>0.05</v>
      </c>
      <c r="E23" t="s">
        <v>723</v>
      </c>
    </row>
    <row r="25" spans="1:9" ht="17">
      <c r="A25" s="321" t="s">
        <v>270</v>
      </c>
      <c r="B25" s="321" t="s">
        <v>84</v>
      </c>
      <c r="C25" s="238"/>
      <c r="D25" s="120"/>
      <c r="E25" s="472" t="s">
        <v>85</v>
      </c>
      <c r="F25" s="238"/>
      <c r="G25" s="120"/>
      <c r="H25" s="923"/>
    </row>
    <row r="26" spans="1:9">
      <c r="A26" s="473"/>
      <c r="B26" s="196" t="s">
        <v>41</v>
      </c>
      <c r="C26" s="242" t="s">
        <v>42</v>
      </c>
      <c r="D26" s="243" t="s">
        <v>43</v>
      </c>
      <c r="E26" s="219" t="s">
        <v>41</v>
      </c>
      <c r="F26" s="242" t="s">
        <v>42</v>
      </c>
      <c r="G26" s="243" t="s">
        <v>43</v>
      </c>
      <c r="H26" s="923"/>
    </row>
    <row r="27" spans="1:9" ht="17">
      <c r="A27" s="482" t="s">
        <v>627</v>
      </c>
      <c r="B27" s="477">
        <f t="shared" ref="B27:D29" si="0">B21*MeanDomesticGasBill*gasBillPropSpace</f>
        <v>287.00716109713164</v>
      </c>
      <c r="C27" s="478">
        <f t="shared" si="0"/>
        <v>621.84884904378532</v>
      </c>
      <c r="D27" s="479">
        <f t="shared" si="0"/>
        <v>956.690536990439</v>
      </c>
      <c r="E27" s="480">
        <f t="shared" ref="E27:G29" si="1">ROUND(B27*gasPriceP/100,0)</f>
        <v>30</v>
      </c>
      <c r="F27" s="480">
        <f t="shared" si="1"/>
        <v>64</v>
      </c>
      <c r="G27" s="481">
        <f t="shared" si="1"/>
        <v>99</v>
      </c>
      <c r="H27" s="56"/>
    </row>
    <row r="28" spans="1:9" ht="17">
      <c r="A28" s="269" t="s">
        <v>628</v>
      </c>
      <c r="B28" s="338">
        <f t="shared" si="0"/>
        <v>47.83452684952195</v>
      </c>
      <c r="C28" s="339">
        <f t="shared" si="0"/>
        <v>478.3452684952195</v>
      </c>
      <c r="D28" s="340">
        <f t="shared" si="0"/>
        <v>765.3524295923512</v>
      </c>
      <c r="E28" s="470">
        <f t="shared" si="1"/>
        <v>5</v>
      </c>
      <c r="F28" s="470">
        <f t="shared" si="1"/>
        <v>49</v>
      </c>
      <c r="G28" s="469">
        <f t="shared" si="1"/>
        <v>79</v>
      </c>
      <c r="H28" s="56"/>
    </row>
    <row r="29" spans="1:9" ht="17">
      <c r="A29" s="270" t="s">
        <v>629</v>
      </c>
      <c r="B29" s="246">
        <f t="shared" si="0"/>
        <v>133.93667517866146</v>
      </c>
      <c r="C29" s="263">
        <f t="shared" si="0"/>
        <v>287.00716109713164</v>
      </c>
      <c r="D29" s="264">
        <f t="shared" si="0"/>
        <v>478.3452684952195</v>
      </c>
      <c r="E29" s="488">
        <f t="shared" si="1"/>
        <v>14</v>
      </c>
      <c r="F29" s="488">
        <f t="shared" si="1"/>
        <v>30</v>
      </c>
      <c r="G29" s="489">
        <f t="shared" si="1"/>
        <v>49</v>
      </c>
      <c r="H29" s="56"/>
    </row>
    <row r="30" spans="1:9">
      <c r="F30" s="467"/>
      <c r="G30" s="467"/>
      <c r="H30" s="467"/>
      <c r="I30" s="56"/>
    </row>
    <row r="31" spans="1:9" ht="17">
      <c r="A31" s="485" t="s">
        <v>47</v>
      </c>
      <c r="B31" s="19"/>
      <c r="F31" s="467"/>
      <c r="G31" s="467"/>
      <c r="H31" s="467"/>
      <c r="I31" s="56"/>
    </row>
    <row r="32" spans="1:9">
      <c r="A32" s="486"/>
      <c r="B32" s="60" t="s">
        <v>41</v>
      </c>
      <c r="C32" s="58" t="s">
        <v>42</v>
      </c>
      <c r="D32" s="59" t="s">
        <v>43</v>
      </c>
    </row>
    <row r="33" spans="1:20" ht="17">
      <c r="A33" s="269" t="s">
        <v>626</v>
      </c>
      <c r="B33" s="61">
        <v>0.6</v>
      </c>
      <c r="C33" s="55">
        <v>0.75</v>
      </c>
      <c r="D33" s="62">
        <v>0.85</v>
      </c>
      <c r="E33" t="s">
        <v>726</v>
      </c>
    </row>
    <row r="34" spans="1:20" ht="17">
      <c r="A34" s="269" t="s">
        <v>727</v>
      </c>
      <c r="B34" s="61">
        <v>0.01</v>
      </c>
      <c r="C34" s="55">
        <v>0.03</v>
      </c>
      <c r="D34" s="62">
        <v>0.05</v>
      </c>
      <c r="E34" s="14" t="s">
        <v>133</v>
      </c>
    </row>
    <row r="35" spans="1:20" ht="34">
      <c r="A35" s="269" t="s">
        <v>624</v>
      </c>
      <c r="B35" s="334">
        <f>B33-B34</f>
        <v>0.59</v>
      </c>
      <c r="C35" s="335">
        <f>C33-C34</f>
        <v>0.72</v>
      </c>
      <c r="D35" s="336">
        <f>D33-D34</f>
        <v>0.79999999999999993</v>
      </c>
    </row>
    <row r="36" spans="1:20">
      <c r="A36" s="269"/>
      <c r="B36" s="334"/>
      <c r="C36" s="335"/>
      <c r="D36" s="336"/>
    </row>
    <row r="37" spans="1:20" ht="17">
      <c r="A37" s="487" t="s">
        <v>625</v>
      </c>
      <c r="B37" s="761">
        <f>(B35)*(propHomesGasHeating)</f>
        <v>0.49300212280969763</v>
      </c>
      <c r="C37" s="762">
        <f>(C35)*(propHomesGasHeating)</f>
        <v>0.60162970919149539</v>
      </c>
      <c r="D37" s="458">
        <f>(D35)*(propHomesGasHeating)</f>
        <v>0.66847745465721709</v>
      </c>
      <c r="E37" s="21"/>
    </row>
    <row r="40" spans="1:20" ht="17">
      <c r="A40" s="321" t="s">
        <v>354</v>
      </c>
      <c r="B40" s="907" t="s">
        <v>682</v>
      </c>
      <c r="C40" s="908"/>
      <c r="D40" s="908"/>
      <c r="E40" s="908"/>
      <c r="F40" s="908"/>
      <c r="G40" s="908"/>
      <c r="H40" s="908"/>
      <c r="I40" s="908"/>
      <c r="J40" s="909"/>
      <c r="K40" s="907" t="s">
        <v>689</v>
      </c>
      <c r="L40" s="908"/>
      <c r="M40" s="908"/>
      <c r="N40" s="908"/>
      <c r="O40" s="908"/>
      <c r="P40" s="908"/>
      <c r="Q40" s="908"/>
      <c r="R40" s="908"/>
      <c r="S40" s="909"/>
      <c r="T40" s="239" t="s">
        <v>684</v>
      </c>
    </row>
    <row r="41" spans="1:20">
      <c r="A41" s="349"/>
      <c r="B41" s="173" t="s">
        <v>308</v>
      </c>
      <c r="C41" s="136"/>
      <c r="D41" s="136"/>
      <c r="E41" s="136" t="s">
        <v>352</v>
      </c>
      <c r="F41" s="136"/>
      <c r="G41" s="136"/>
      <c r="H41" s="495" t="s">
        <v>353</v>
      </c>
      <c r="I41" s="495"/>
      <c r="J41" s="496"/>
      <c r="K41" s="173" t="s">
        <v>308</v>
      </c>
      <c r="L41" s="136"/>
      <c r="M41" s="136"/>
      <c r="N41" s="136" t="s">
        <v>352</v>
      </c>
      <c r="O41" s="136"/>
      <c r="P41" s="136"/>
      <c r="Q41" s="495" t="s">
        <v>353</v>
      </c>
      <c r="R41" s="495"/>
      <c r="S41" s="496"/>
      <c r="T41" s="222"/>
    </row>
    <row r="42" spans="1:20">
      <c r="A42" s="559"/>
      <c r="B42" s="173" t="s">
        <v>41</v>
      </c>
      <c r="C42" s="224" t="s">
        <v>42</v>
      </c>
      <c r="D42" s="224" t="s">
        <v>43</v>
      </c>
      <c r="E42" s="136" t="s">
        <v>41</v>
      </c>
      <c r="F42" s="224" t="s">
        <v>42</v>
      </c>
      <c r="G42" s="224" t="s">
        <v>43</v>
      </c>
      <c r="H42" s="136" t="s">
        <v>41</v>
      </c>
      <c r="I42" s="224" t="s">
        <v>42</v>
      </c>
      <c r="J42" s="46" t="s">
        <v>43</v>
      </c>
      <c r="K42" s="173" t="s">
        <v>41</v>
      </c>
      <c r="L42" s="224" t="s">
        <v>42</v>
      </c>
      <c r="M42" s="224" t="s">
        <v>43</v>
      </c>
      <c r="N42" s="136" t="s">
        <v>41</v>
      </c>
      <c r="O42" s="224" t="s">
        <v>42</v>
      </c>
      <c r="P42" s="224" t="s">
        <v>43</v>
      </c>
      <c r="Q42" s="136" t="s">
        <v>41</v>
      </c>
      <c r="R42" s="224" t="s">
        <v>42</v>
      </c>
      <c r="S42" s="46" t="s">
        <v>43</v>
      </c>
      <c r="T42" s="222"/>
    </row>
    <row r="43" spans="1:20" ht="17">
      <c r="A43" s="269" t="s">
        <v>619</v>
      </c>
      <c r="B43" s="492">
        <f>B28</f>
        <v>47.83452684952195</v>
      </c>
      <c r="C43" s="123">
        <f t="shared" ref="C43:D43" si="2">C28</f>
        <v>478.3452684952195</v>
      </c>
      <c r="D43" s="123">
        <f t="shared" si="2"/>
        <v>765.3524295923512</v>
      </c>
      <c r="E43" s="123">
        <v>0</v>
      </c>
      <c r="F43" s="123">
        <v>0</v>
      </c>
      <c r="G43" s="123">
        <v>0</v>
      </c>
      <c r="H43" s="123">
        <v>0</v>
      </c>
      <c r="I43" s="123">
        <v>0</v>
      </c>
      <c r="J43" s="561">
        <v>0</v>
      </c>
      <c r="K43" s="492">
        <f>B37*numberDwellingsUK/1000</f>
        <v>13879.8925322</v>
      </c>
      <c r="L43" s="123">
        <f>C37*numberDwellingsUK/1000</f>
        <v>16938.173937599997</v>
      </c>
      <c r="M43" s="123">
        <f>D37*numberDwellingsUK/1000</f>
        <v>18820.193263999998</v>
      </c>
      <c r="N43" s="123">
        <v>0</v>
      </c>
      <c r="O43" s="123">
        <v>0</v>
      </c>
      <c r="P43" s="123">
        <v>0</v>
      </c>
      <c r="Q43" s="123">
        <v>0</v>
      </c>
      <c r="R43" s="123">
        <v>0</v>
      </c>
      <c r="S43" s="561">
        <v>0</v>
      </c>
      <c r="T43" s="51" t="s">
        <v>301</v>
      </c>
    </row>
    <row r="44" spans="1:20" ht="17">
      <c r="A44" s="269" t="s">
        <v>620</v>
      </c>
      <c r="B44" s="492">
        <f>B29</f>
        <v>133.93667517866146</v>
      </c>
      <c r="C44" s="123">
        <f t="shared" ref="C44:D44" si="3">C29</f>
        <v>287.00716109713164</v>
      </c>
      <c r="D44" s="123">
        <f t="shared" si="3"/>
        <v>478.3452684952195</v>
      </c>
      <c r="E44" s="123">
        <v>0</v>
      </c>
      <c r="F44" s="123">
        <v>0</v>
      </c>
      <c r="G44" s="123">
        <v>0</v>
      </c>
      <c r="H44" s="123">
        <v>0</v>
      </c>
      <c r="I44" s="123">
        <v>0</v>
      </c>
      <c r="J44" s="561">
        <v>0</v>
      </c>
      <c r="K44" s="492">
        <f t="shared" ref="K44:M45" si="4">K43</f>
        <v>13879.8925322</v>
      </c>
      <c r="L44" s="123">
        <f t="shared" si="4"/>
        <v>16938.173937599997</v>
      </c>
      <c r="M44" s="123">
        <f t="shared" si="4"/>
        <v>18820.193263999998</v>
      </c>
      <c r="N44" s="123">
        <v>0</v>
      </c>
      <c r="O44" s="123">
        <v>0</v>
      </c>
      <c r="P44" s="123">
        <v>0</v>
      </c>
      <c r="Q44" s="123">
        <v>0</v>
      </c>
      <c r="R44" s="123">
        <v>0</v>
      </c>
      <c r="S44" s="561">
        <v>0</v>
      </c>
      <c r="T44" s="51" t="s">
        <v>301</v>
      </c>
    </row>
    <row r="45" spans="1:20" ht="17">
      <c r="A45" s="560" t="s">
        <v>621</v>
      </c>
      <c r="B45" s="493">
        <f>B27</f>
        <v>287.00716109713164</v>
      </c>
      <c r="C45" s="494">
        <f t="shared" ref="C45:D45" si="5">C27</f>
        <v>621.84884904378532</v>
      </c>
      <c r="D45" s="494">
        <f t="shared" si="5"/>
        <v>956.690536990439</v>
      </c>
      <c r="E45" s="494">
        <v>0</v>
      </c>
      <c r="F45" s="494">
        <v>0</v>
      </c>
      <c r="G45" s="494">
        <v>0</v>
      </c>
      <c r="H45" s="494">
        <v>0</v>
      </c>
      <c r="I45" s="494">
        <v>0</v>
      </c>
      <c r="J45" s="562">
        <v>0</v>
      </c>
      <c r="K45" s="493">
        <f t="shared" si="4"/>
        <v>13879.8925322</v>
      </c>
      <c r="L45" s="494">
        <f t="shared" si="4"/>
        <v>16938.173937599997</v>
      </c>
      <c r="M45" s="494">
        <f t="shared" si="4"/>
        <v>18820.193263999998</v>
      </c>
      <c r="N45" s="494">
        <v>0</v>
      </c>
      <c r="O45" s="494">
        <v>0</v>
      </c>
      <c r="P45" s="494">
        <v>0</v>
      </c>
      <c r="Q45" s="494">
        <v>0</v>
      </c>
      <c r="R45" s="494">
        <v>0</v>
      </c>
      <c r="S45" s="562">
        <v>0</v>
      </c>
      <c r="T45" s="66" t="s">
        <v>193</v>
      </c>
    </row>
  </sheetData>
  <sheetProtection sheet="1" objects="1" scenarios="1"/>
  <mergeCells count="3">
    <mergeCell ref="K40:S40"/>
    <mergeCell ref="H25:H26"/>
    <mergeCell ref="B40:J4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T40"/>
  <sheetViews>
    <sheetView workbookViewId="0">
      <selection activeCell="F33" sqref="F33"/>
    </sheetView>
  </sheetViews>
  <sheetFormatPr baseColWidth="10" defaultColWidth="10.5" defaultRowHeight="16"/>
  <cols>
    <col min="1" max="1" width="51" style="13" customWidth="1"/>
    <col min="2" max="2" width="24.5" bestFit="1" customWidth="1"/>
    <col min="4" max="4" width="20.33203125" bestFit="1" customWidth="1"/>
    <col min="20" max="20" width="20" customWidth="1"/>
  </cols>
  <sheetData>
    <row r="1" spans="1:6" ht="17">
      <c r="A1" s="504" t="s">
        <v>679</v>
      </c>
      <c r="B1" s="16"/>
      <c r="C1" s="16"/>
      <c r="D1" s="16"/>
      <c r="E1" s="16"/>
    </row>
    <row r="2" spans="1:6" ht="34">
      <c r="A2" s="504" t="s">
        <v>771</v>
      </c>
      <c r="B2" s="16"/>
      <c r="C2" s="16"/>
      <c r="D2" s="16"/>
      <c r="E2" s="16"/>
    </row>
    <row r="4" spans="1:6" ht="187">
      <c r="A4" s="13" t="s">
        <v>780</v>
      </c>
    </row>
    <row r="5" spans="1:6" ht="143.5" customHeight="1">
      <c r="A5" s="13" t="s">
        <v>694</v>
      </c>
    </row>
    <row r="6" spans="1:6" ht="68">
      <c r="A6" s="13" t="s">
        <v>703</v>
      </c>
    </row>
    <row r="7" spans="1:6" ht="109" customHeight="1">
      <c r="A7" s="13" t="s">
        <v>695</v>
      </c>
    </row>
    <row r="8" spans="1:6" ht="153">
      <c r="A8" s="169" t="s">
        <v>781</v>
      </c>
    </row>
    <row r="11" spans="1:6" ht="17">
      <c r="A11" s="505" t="s">
        <v>701</v>
      </c>
      <c r="B11" s="506" t="s">
        <v>702</v>
      </c>
      <c r="C11" s="506" t="s">
        <v>609</v>
      </c>
      <c r="D11" s="506" t="s">
        <v>41</v>
      </c>
      <c r="E11" s="507" t="s">
        <v>43</v>
      </c>
    </row>
    <row r="12" spans="1:6" ht="17">
      <c r="A12" s="508" t="s">
        <v>230</v>
      </c>
      <c r="B12" s="509" t="s">
        <v>308</v>
      </c>
      <c r="C12" s="615">
        <v>6.7000000000000004E-2</v>
      </c>
      <c r="D12" s="615">
        <v>2.5999999999999999E-2</v>
      </c>
      <c r="E12" s="616">
        <v>9.1999999999999998E-2</v>
      </c>
    </row>
    <row r="13" spans="1:6" ht="17">
      <c r="A13" s="269" t="s">
        <v>230</v>
      </c>
      <c r="B13" s="510" t="s">
        <v>352</v>
      </c>
      <c r="C13" s="248">
        <v>6.6000000000000003E-2</v>
      </c>
      <c r="D13" s="248">
        <v>2.5000000000000001E-2</v>
      </c>
      <c r="E13" s="249">
        <v>8.8999999999999996E-2</v>
      </c>
    </row>
    <row r="14" spans="1:6" ht="17">
      <c r="A14" s="269" t="s">
        <v>680</v>
      </c>
      <c r="B14" s="510" t="s">
        <v>308</v>
      </c>
      <c r="C14" s="443">
        <v>0.18</v>
      </c>
      <c r="D14" s="511"/>
      <c r="E14" s="512"/>
      <c r="F14" t="s">
        <v>782</v>
      </c>
    </row>
    <row r="15" spans="1:6" ht="34">
      <c r="A15" s="270" t="s">
        <v>696</v>
      </c>
      <c r="B15" s="513"/>
      <c r="C15" s="614">
        <f>C14*gasBillPropSpace</f>
        <v>0.14676048030334948</v>
      </c>
      <c r="D15" s="514"/>
      <c r="E15" s="515"/>
    </row>
    <row r="16" spans="1:6">
      <c r="C16" s="502"/>
      <c r="D16" s="14"/>
    </row>
    <row r="17" spans="1:8" ht="17">
      <c r="A17" s="516" t="s">
        <v>653</v>
      </c>
      <c r="B17" s="791"/>
      <c r="C17" s="506" t="s">
        <v>41</v>
      </c>
      <c r="D17" s="517" t="s">
        <v>42</v>
      </c>
      <c r="E17" s="518" t="s">
        <v>43</v>
      </c>
    </row>
    <row r="18" spans="1:8" ht="50.5" customHeight="1">
      <c r="A18" s="468" t="s">
        <v>824</v>
      </c>
      <c r="B18" s="337"/>
      <c r="C18" s="248">
        <v>7.0000000000000007E-2</v>
      </c>
      <c r="D18" s="55">
        <f>AVERAGE(E18,C18)</f>
        <v>0.10838024015167474</v>
      </c>
      <c r="E18" s="503">
        <f>C15</f>
        <v>0.14676048030334948</v>
      </c>
      <c r="F18" t="s">
        <v>783</v>
      </c>
      <c r="G18" s="21"/>
    </row>
    <row r="19" spans="1:8" ht="34">
      <c r="A19" s="792" t="s">
        <v>823</v>
      </c>
      <c r="B19" s="793"/>
      <c r="C19" s="71">
        <v>0</v>
      </c>
      <c r="D19" s="71">
        <f>AVERAGE(E19,C19)</f>
        <v>5.4190120075837372E-2</v>
      </c>
      <c r="E19" s="72">
        <f>D18</f>
        <v>0.10838024015167474</v>
      </c>
      <c r="F19" s="14" t="s">
        <v>784</v>
      </c>
    </row>
    <row r="21" spans="1:8" ht="17">
      <c r="A21" s="321" t="s">
        <v>270</v>
      </c>
      <c r="B21" s="238"/>
      <c r="C21" s="321" t="s">
        <v>84</v>
      </c>
      <c r="D21" s="238"/>
      <c r="E21" s="120"/>
      <c r="F21" s="472" t="s">
        <v>85</v>
      </c>
      <c r="G21" s="238"/>
      <c r="H21" s="120"/>
    </row>
    <row r="22" spans="1:8">
      <c r="A22" s="473"/>
      <c r="B22" s="16"/>
      <c r="C22" s="693" t="s">
        <v>41</v>
      </c>
      <c r="D22" s="694" t="s">
        <v>42</v>
      </c>
      <c r="E22" s="695" t="s">
        <v>43</v>
      </c>
      <c r="F22" s="219" t="s">
        <v>41</v>
      </c>
      <c r="G22" s="242" t="s">
        <v>42</v>
      </c>
      <c r="H22" s="243" t="s">
        <v>43</v>
      </c>
    </row>
    <row r="23" spans="1:8" ht="34">
      <c r="A23" s="482" t="s">
        <v>822</v>
      </c>
      <c r="B23" s="519" t="s">
        <v>308</v>
      </c>
      <c r="C23" s="696">
        <f>C18*MeanDomesticGasBill</f>
        <v>821.35877050576948</v>
      </c>
      <c r="D23" s="697">
        <f>D18*MeanDomesticGasBill</f>
        <v>1271.7008685442797</v>
      </c>
      <c r="E23" s="698">
        <f>E18*MeanDomesticGasBill</f>
        <v>1722.0429665827901</v>
      </c>
      <c r="F23" s="480">
        <f>ROUND(C23*gasPriceP/100,0)</f>
        <v>85</v>
      </c>
      <c r="G23" s="480">
        <f>ROUND(D23*gasPriceP/100,0)</f>
        <v>131</v>
      </c>
      <c r="H23" s="481">
        <f>ROUND(E23*gasPriceP/100,0)</f>
        <v>177</v>
      </c>
    </row>
    <row r="24" spans="1:8">
      <c r="A24" s="270"/>
      <c r="B24" s="513" t="s">
        <v>352</v>
      </c>
      <c r="C24" s="687">
        <f>C18*MeanDomesticOilBill</f>
        <v>1374.4065681741677</v>
      </c>
      <c r="D24" s="688">
        <f>D18*MeanDomesticOilBill</f>
        <v>2127.9787703536485</v>
      </c>
      <c r="E24" s="689">
        <f>E18*MeanDomesticOilBill</f>
        <v>2881.5509725331299</v>
      </c>
      <c r="F24" s="488">
        <f>ROUND(C24*oilPriceP/100,0)</f>
        <v>133</v>
      </c>
      <c r="G24" s="488">
        <f>ROUND(D24*oilPriceP/100,0)</f>
        <v>206</v>
      </c>
      <c r="H24" s="489">
        <f>ROUND(E24*oilPriceP/100,0)</f>
        <v>278</v>
      </c>
    </row>
    <row r="25" spans="1:8" ht="34">
      <c r="A25" s="269" t="s">
        <v>821</v>
      </c>
      <c r="B25" s="12" t="s">
        <v>308</v>
      </c>
      <c r="C25" s="684">
        <f>C19*MeanDomesticGasBill</f>
        <v>0</v>
      </c>
      <c r="D25" s="685">
        <f>D19*MeanDomesticGasBill</f>
        <v>635.85043427213986</v>
      </c>
      <c r="E25" s="686">
        <f>E19*MeanDomesticGasBill</f>
        <v>1271.7008685442797</v>
      </c>
      <c r="F25" s="470">
        <f>F23/2</f>
        <v>42.5</v>
      </c>
      <c r="G25" s="470">
        <f t="shared" ref="G25:H25" si="0">G23/2</f>
        <v>65.5</v>
      </c>
      <c r="H25" s="469">
        <f t="shared" si="0"/>
        <v>88.5</v>
      </c>
    </row>
    <row r="26" spans="1:8">
      <c r="A26" s="270"/>
      <c r="B26" s="513" t="s">
        <v>352</v>
      </c>
      <c r="C26" s="687">
        <f>C19*MeanDomesticOilBill</f>
        <v>0</v>
      </c>
      <c r="D26" s="688">
        <f>D19*MeanDomesticOilBill</f>
        <v>1063.9893851768243</v>
      </c>
      <c r="E26" s="689">
        <f>E19*MeanDomesticOilBill</f>
        <v>2127.9787703536485</v>
      </c>
      <c r="F26" s="488">
        <f t="shared" ref="F26:H26" si="1">F24/2</f>
        <v>66.5</v>
      </c>
      <c r="G26" s="488">
        <f t="shared" si="1"/>
        <v>103</v>
      </c>
      <c r="H26" s="489">
        <f t="shared" si="1"/>
        <v>139</v>
      </c>
    </row>
    <row r="28" spans="1:8" ht="17">
      <c r="A28" s="485" t="s">
        <v>47</v>
      </c>
      <c r="B28" s="19"/>
    </row>
    <row r="29" spans="1:8">
      <c r="A29" s="486"/>
      <c r="B29" s="238"/>
      <c r="C29" s="58" t="s">
        <v>41</v>
      </c>
      <c r="D29" s="58" t="s">
        <v>42</v>
      </c>
      <c r="E29" s="59" t="s">
        <v>43</v>
      </c>
    </row>
    <row r="30" spans="1:8" ht="17">
      <c r="A30" s="269" t="s">
        <v>681</v>
      </c>
      <c r="B30" s="12" t="s">
        <v>772</v>
      </c>
      <c r="C30" s="335">
        <f>D30-0.02</f>
        <v>0.84</v>
      </c>
      <c r="D30" s="55">
        <v>0.86</v>
      </c>
      <c r="E30" s="336">
        <f>D30+0.02</f>
        <v>0.88</v>
      </c>
      <c r="F30" t="s">
        <v>867</v>
      </c>
    </row>
    <row r="31" spans="1:8" ht="17">
      <c r="A31" s="269" t="s">
        <v>773</v>
      </c>
      <c r="B31" s="12" t="s">
        <v>308</v>
      </c>
      <c r="C31" s="403">
        <f>propHomesGasHeating*(1-C30)</f>
        <v>0.13369549093144345</v>
      </c>
      <c r="D31" s="403">
        <f>propHomesGasHeating*(1-D30)</f>
        <v>0.11698355456501301</v>
      </c>
      <c r="E31" s="376">
        <f>propHomesGasHeating*(1-E30)</f>
        <v>0.10027161819858257</v>
      </c>
      <c r="F31" s="14" t="s">
        <v>704</v>
      </c>
    </row>
    <row r="32" spans="1:8" ht="17">
      <c r="A32" s="269" t="s">
        <v>773</v>
      </c>
      <c r="B32" s="12" t="s">
        <v>352</v>
      </c>
      <c r="C32" s="403">
        <f>propHomesOilHeating*(1-C30)</f>
        <v>8.5825764525942292E-3</v>
      </c>
      <c r="D32" s="403">
        <f>propHomesOilHeating*(1-D30)</f>
        <v>7.5097543960199508E-3</v>
      </c>
      <c r="E32" s="376">
        <f>propHomesOilHeating*(1-E30)</f>
        <v>6.4369323394456706E-3</v>
      </c>
    </row>
    <row r="33" spans="1:20" ht="17">
      <c r="A33" s="269" t="s">
        <v>774</v>
      </c>
      <c r="B33" s="12" t="s">
        <v>308</v>
      </c>
      <c r="C33" s="403">
        <f>propHomesGasHeating*C30</f>
        <v>0.70190132739007793</v>
      </c>
      <c r="D33" s="403">
        <f>propHomesGasHeating*D30</f>
        <v>0.71861326375650847</v>
      </c>
      <c r="E33" s="376">
        <f>propHomesGasHeating*E30</f>
        <v>0.73532520012293889</v>
      </c>
    </row>
    <row r="34" spans="1:20" ht="17">
      <c r="A34" s="270" t="s">
        <v>774</v>
      </c>
      <c r="B34" s="513" t="s">
        <v>352</v>
      </c>
      <c r="C34" s="794">
        <f>propHomesOilHeating*C30</f>
        <v>4.5058526376119699E-2</v>
      </c>
      <c r="D34" s="794">
        <f>propHomesOilHeating*D30</f>
        <v>4.6131348432693974E-2</v>
      </c>
      <c r="E34" s="310">
        <f>propHomesOilHeating*E30</f>
        <v>4.7204170489268255E-2</v>
      </c>
    </row>
    <row r="36" spans="1:20" ht="17">
      <c r="A36" s="17" t="s">
        <v>354</v>
      </c>
      <c r="B36" s="907" t="s">
        <v>682</v>
      </c>
      <c r="C36" s="908"/>
      <c r="D36" s="908"/>
      <c r="E36" s="908"/>
      <c r="F36" s="908"/>
      <c r="G36" s="908"/>
      <c r="H36" s="908"/>
      <c r="I36" s="908"/>
      <c r="J36" s="908"/>
      <c r="K36" s="907" t="s">
        <v>689</v>
      </c>
      <c r="L36" s="908"/>
      <c r="M36" s="908"/>
      <c r="N36" s="908"/>
      <c r="O36" s="908"/>
      <c r="P36" s="908"/>
      <c r="Q36" s="908"/>
      <c r="R36" s="908"/>
      <c r="S36" s="909"/>
      <c r="T36" s="239" t="s">
        <v>684</v>
      </c>
    </row>
    <row r="37" spans="1:20">
      <c r="A37" s="11"/>
      <c r="B37" s="171" t="s">
        <v>308</v>
      </c>
      <c r="C37" s="132"/>
      <c r="D37" s="133"/>
      <c r="E37" s="171" t="s">
        <v>352</v>
      </c>
      <c r="F37" s="172"/>
      <c r="G37" s="174"/>
      <c r="H37" s="520" t="s">
        <v>353</v>
      </c>
      <c r="I37" s="521"/>
      <c r="J37" s="522"/>
      <c r="K37" s="171" t="s">
        <v>308</v>
      </c>
      <c r="L37" s="172"/>
      <c r="M37" s="172"/>
      <c r="N37" s="171" t="s">
        <v>352</v>
      </c>
      <c r="O37" s="172"/>
      <c r="P37" s="174"/>
      <c r="Q37" s="521" t="s">
        <v>353</v>
      </c>
      <c r="R37" s="521"/>
      <c r="S37" s="522"/>
      <c r="T37" s="222"/>
    </row>
    <row r="38" spans="1:20">
      <c r="A38" s="225"/>
      <c r="B38" s="450" t="s">
        <v>41</v>
      </c>
      <c r="C38" s="224" t="s">
        <v>42</v>
      </c>
      <c r="D38" s="46" t="s">
        <v>43</v>
      </c>
      <c r="E38" s="450" t="s">
        <v>41</v>
      </c>
      <c r="F38" s="224" t="s">
        <v>42</v>
      </c>
      <c r="G38" s="46" t="s">
        <v>43</v>
      </c>
      <c r="H38" s="450" t="s">
        <v>41</v>
      </c>
      <c r="I38" s="224" t="s">
        <v>42</v>
      </c>
      <c r="J38" s="46" t="s">
        <v>43</v>
      </c>
      <c r="K38" s="450" t="s">
        <v>41</v>
      </c>
      <c r="L38" s="224" t="s">
        <v>42</v>
      </c>
      <c r="M38" s="224" t="s">
        <v>43</v>
      </c>
      <c r="N38" s="450" t="s">
        <v>41</v>
      </c>
      <c r="O38" s="224" t="s">
        <v>42</v>
      </c>
      <c r="P38" s="46" t="s">
        <v>43</v>
      </c>
      <c r="Q38" s="199" t="s">
        <v>41</v>
      </c>
      <c r="R38" s="224" t="s">
        <v>42</v>
      </c>
      <c r="S38" s="46" t="s">
        <v>43</v>
      </c>
      <c r="T38" s="222"/>
    </row>
    <row r="39" spans="1:20" ht="34">
      <c r="A39" s="337" t="s">
        <v>829</v>
      </c>
      <c r="B39" s="338">
        <f>C23</f>
        <v>821.35877050576948</v>
      </c>
      <c r="C39" s="339">
        <f>D23</f>
        <v>1271.7008685442797</v>
      </c>
      <c r="D39" s="340">
        <f>E23</f>
        <v>1722.0429665827901</v>
      </c>
      <c r="E39" s="338">
        <f>C24</f>
        <v>1374.4065681741677</v>
      </c>
      <c r="F39" s="339">
        <f>D24</f>
        <v>2127.9787703536485</v>
      </c>
      <c r="G39" s="340">
        <f>E24</f>
        <v>2881.5509725331299</v>
      </c>
      <c r="H39" s="523">
        <v>0</v>
      </c>
      <c r="I39" s="420">
        <v>0</v>
      </c>
      <c r="J39" s="341">
        <v>0</v>
      </c>
      <c r="K39" s="338">
        <f>numberDwellingsUK*C31/1000</f>
        <v>3764.0386528000004</v>
      </c>
      <c r="L39" s="339">
        <f>numberDwellingsUK*D31/1000</f>
        <v>3293.5338212000001</v>
      </c>
      <c r="M39" s="339">
        <f>numberDwellingsUK*E31/1000</f>
        <v>2823.0289895999999</v>
      </c>
      <c r="N39" s="338">
        <f>numberDwellingsUK*C32/1000</f>
        <v>241.632304</v>
      </c>
      <c r="O39" s="339">
        <f>numberDwellingsUK*D32/1000</f>
        <v>211.42826600000001</v>
      </c>
      <c r="P39" s="340">
        <f>numberDwellingsUK*E32/1000</f>
        <v>181.22422799999998</v>
      </c>
      <c r="Q39" s="339">
        <v>0</v>
      </c>
      <c r="R39" s="339">
        <v>0</v>
      </c>
      <c r="S39" s="340">
        <v>0</v>
      </c>
      <c r="T39" s="212" t="s">
        <v>301</v>
      </c>
    </row>
    <row r="40" spans="1:20" ht="34">
      <c r="A40" s="394" t="s">
        <v>864</v>
      </c>
      <c r="B40" s="246">
        <f>C25</f>
        <v>0</v>
      </c>
      <c r="C40" s="263">
        <f>D25</f>
        <v>635.85043427213986</v>
      </c>
      <c r="D40" s="264">
        <f>E25</f>
        <v>1271.7008685442797</v>
      </c>
      <c r="E40" s="246">
        <f>C26</f>
        <v>0</v>
      </c>
      <c r="F40" s="263">
        <f>D26</f>
        <v>1063.9893851768243</v>
      </c>
      <c r="G40" s="264">
        <f>E26</f>
        <v>2127.9787703536485</v>
      </c>
      <c r="H40" s="524">
        <v>0</v>
      </c>
      <c r="I40" s="525">
        <v>0</v>
      </c>
      <c r="J40" s="526">
        <v>0</v>
      </c>
      <c r="K40" s="246">
        <f>numberDwellingsUK*C33/1000</f>
        <v>19761.202927199996</v>
      </c>
      <c r="L40" s="263">
        <f>numberDwellingsUK*D33/1000</f>
        <v>20231.707758799999</v>
      </c>
      <c r="M40" s="263">
        <f>numberDwellingsUK*E33/1000</f>
        <v>20702.212590399999</v>
      </c>
      <c r="N40" s="246">
        <f>numberDwellingsUK*C34/1000</f>
        <v>1268.5695959999998</v>
      </c>
      <c r="O40" s="263">
        <f>numberDwellingsUK*D34/1000</f>
        <v>1298.7736339999999</v>
      </c>
      <c r="P40" s="264">
        <f>numberDwellingsUK*E34/1000</f>
        <v>1328.9776719999998</v>
      </c>
      <c r="Q40" s="263">
        <v>0</v>
      </c>
      <c r="R40" s="263">
        <v>0</v>
      </c>
      <c r="S40" s="264">
        <v>0</v>
      </c>
      <c r="T40" s="501" t="s">
        <v>301</v>
      </c>
    </row>
  </sheetData>
  <sheetProtection sheet="1" objects="1" scenarios="1"/>
  <mergeCells count="2">
    <mergeCell ref="B36:J36"/>
    <mergeCell ref="K36:S3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A1:K100"/>
  <sheetViews>
    <sheetView workbookViewId="0">
      <selection activeCell="D14" sqref="D14"/>
    </sheetView>
  </sheetViews>
  <sheetFormatPr baseColWidth="10" defaultColWidth="11" defaultRowHeight="16"/>
  <cols>
    <col min="1" max="1" width="33.5" customWidth="1"/>
    <col min="2" max="2" width="20.5" customWidth="1"/>
    <col min="3" max="3" width="13.5" bestFit="1" customWidth="1"/>
    <col min="5" max="5" width="15.5" customWidth="1"/>
  </cols>
  <sheetData>
    <row r="1" spans="1:11" ht="31.5" customHeight="1">
      <c r="A1" s="111" t="s">
        <v>33</v>
      </c>
      <c r="B1" s="105"/>
      <c r="C1" s="105"/>
      <c r="D1" s="105"/>
      <c r="E1" s="105"/>
      <c r="F1" s="16"/>
      <c r="G1" s="16"/>
      <c r="H1" s="16"/>
      <c r="I1" s="16"/>
      <c r="J1" s="16"/>
      <c r="K1" s="16"/>
    </row>
    <row r="2" spans="1:11" ht="31.5" customHeight="1">
      <c r="A2" s="111" t="s">
        <v>250</v>
      </c>
      <c r="B2" s="105"/>
      <c r="C2" s="105"/>
      <c r="D2" s="105"/>
      <c r="E2" s="105"/>
      <c r="F2" s="16"/>
      <c r="G2" s="16"/>
      <c r="H2" s="16"/>
      <c r="I2" s="16"/>
      <c r="J2" s="16"/>
      <c r="K2" s="16"/>
    </row>
    <row r="3" spans="1:11" ht="17">
      <c r="A3" s="6" t="s">
        <v>149</v>
      </c>
      <c r="B3" s="112">
        <v>11630</v>
      </c>
      <c r="C3" s="67" t="s">
        <v>8</v>
      </c>
      <c r="D3" s="67"/>
      <c r="E3" s="67"/>
    </row>
    <row r="4" spans="1:11" ht="17">
      <c r="A4" s="6" t="s">
        <v>54</v>
      </c>
      <c r="B4" s="112">
        <f>kwhPerToe*1000</f>
        <v>11630000</v>
      </c>
      <c r="C4" s="67"/>
      <c r="D4" s="67"/>
      <c r="E4" s="67"/>
    </row>
    <row r="5" spans="1:11">
      <c r="A5" s="67" t="s">
        <v>150</v>
      </c>
      <c r="B5" s="145">
        <v>0.184</v>
      </c>
      <c r="C5" s="67" t="s">
        <v>34</v>
      </c>
      <c r="D5" s="67" t="s">
        <v>35</v>
      </c>
      <c r="E5" s="67"/>
    </row>
    <row r="6" spans="1:11">
      <c r="A6" s="67"/>
      <c r="B6" s="67">
        <f>0.184*1000</f>
        <v>184</v>
      </c>
      <c r="C6" s="67" t="s">
        <v>44</v>
      </c>
      <c r="D6" s="67"/>
      <c r="E6" s="67"/>
    </row>
    <row r="7" spans="1:11">
      <c r="A7" s="67" t="s">
        <v>253</v>
      </c>
      <c r="B7" s="145">
        <v>0.19400000000000001</v>
      </c>
      <c r="C7" s="67" t="s">
        <v>34</v>
      </c>
      <c r="D7" s="67" t="s">
        <v>35</v>
      </c>
      <c r="E7" s="67"/>
    </row>
    <row r="8" spans="1:11">
      <c r="A8" s="67" t="s">
        <v>283</v>
      </c>
      <c r="B8" s="145">
        <v>0.27</v>
      </c>
      <c r="C8" s="67" t="s">
        <v>34</v>
      </c>
      <c r="D8" s="67" t="s">
        <v>35</v>
      </c>
      <c r="E8" s="67"/>
    </row>
    <row r="9" spans="1:11">
      <c r="A9" s="67"/>
      <c r="B9" s="67"/>
      <c r="C9" s="67"/>
      <c r="D9" s="67"/>
      <c r="E9" s="67"/>
    </row>
    <row r="10" spans="1:11">
      <c r="A10" s="111" t="s">
        <v>251</v>
      </c>
      <c r="B10" s="105"/>
      <c r="C10" s="105"/>
      <c r="D10" s="105"/>
      <c r="E10" s="105"/>
      <c r="F10" s="16"/>
      <c r="G10" s="16"/>
      <c r="H10" s="16"/>
      <c r="I10" s="16"/>
      <c r="J10" s="16"/>
      <c r="K10" s="16"/>
    </row>
    <row r="11" spans="1:11">
      <c r="A11" s="67" t="s">
        <v>39</v>
      </c>
      <c r="B11" s="416">
        <f>Tariffs!D6</f>
        <v>10.3</v>
      </c>
      <c r="C11" s="67" t="s">
        <v>40</v>
      </c>
      <c r="D11" s="67"/>
      <c r="E11" s="188"/>
    </row>
    <row r="12" spans="1:11">
      <c r="A12" s="67" t="s">
        <v>161</v>
      </c>
      <c r="B12" s="128">
        <f>Tariffs!B6</f>
        <v>34</v>
      </c>
      <c r="C12" s="67" t="s">
        <v>40</v>
      </c>
      <c r="D12" s="67"/>
    </row>
    <row r="13" spans="1:11">
      <c r="A13" s="67" t="s">
        <v>235</v>
      </c>
      <c r="B13" s="128">
        <f>Tariffs!C6</f>
        <v>34</v>
      </c>
      <c r="C13" s="67" t="s">
        <v>40</v>
      </c>
      <c r="D13" s="67" t="s">
        <v>697</v>
      </c>
    </row>
    <row r="14" spans="1:11">
      <c r="A14" s="67" t="s">
        <v>260</v>
      </c>
      <c r="B14" s="181">
        <v>100</v>
      </c>
      <c r="C14" s="67" t="s">
        <v>261</v>
      </c>
      <c r="D14" s="67" t="s">
        <v>262</v>
      </c>
    </row>
    <row r="15" spans="1:11">
      <c r="A15" s="67"/>
      <c r="B15" s="129">
        <f>B14/10.35</f>
        <v>9.6618357487922708</v>
      </c>
      <c r="C15" s="67" t="s">
        <v>40</v>
      </c>
    </row>
    <row r="16" spans="1:11">
      <c r="A16" s="111" t="s">
        <v>252</v>
      </c>
      <c r="B16" s="105"/>
      <c r="C16" s="105"/>
      <c r="D16" s="105"/>
      <c r="E16" s="105"/>
      <c r="F16" s="16"/>
      <c r="G16" s="16"/>
      <c r="H16" s="16"/>
      <c r="I16" s="16"/>
      <c r="J16" s="16"/>
      <c r="K16" s="16"/>
    </row>
    <row r="17" spans="1:11" ht="17">
      <c r="A17" s="6" t="s">
        <v>198</v>
      </c>
      <c r="B17" s="228">
        <v>67081234</v>
      </c>
      <c r="C17" s="67"/>
      <c r="D17" s="187" t="s">
        <v>211</v>
      </c>
      <c r="E17" s="67"/>
    </row>
    <row r="18" spans="1:11" ht="17">
      <c r="A18" s="6" t="s">
        <v>196</v>
      </c>
      <c r="B18" s="228">
        <v>56550138</v>
      </c>
      <c r="C18" s="67"/>
      <c r="D18" s="187" t="s">
        <v>211</v>
      </c>
      <c r="E18" s="67"/>
    </row>
    <row r="19" spans="1:11">
      <c r="A19" s="67" t="s">
        <v>197</v>
      </c>
      <c r="B19" s="711">
        <f>C95</f>
        <v>28153819</v>
      </c>
      <c r="C19" s="67"/>
      <c r="D19" s="188"/>
      <c r="E19" s="67"/>
    </row>
    <row r="20" spans="1:11">
      <c r="A20" s="67" t="s">
        <v>433</v>
      </c>
      <c r="B20" s="712">
        <v>5466000</v>
      </c>
      <c r="C20" s="67"/>
      <c r="D20" s="187" t="s">
        <v>211</v>
      </c>
      <c r="E20" s="67"/>
    </row>
    <row r="21" spans="1:11">
      <c r="A21" s="67" t="s">
        <v>212</v>
      </c>
      <c r="B21" s="712">
        <v>3169586</v>
      </c>
      <c r="C21" s="67"/>
      <c r="D21" s="187" t="s">
        <v>211</v>
      </c>
      <c r="E21" s="67"/>
    </row>
    <row r="22" spans="1:11">
      <c r="A22" s="67" t="s">
        <v>216</v>
      </c>
      <c r="B22" s="713">
        <v>1895510</v>
      </c>
      <c r="C22" s="67"/>
      <c r="D22" s="67"/>
      <c r="E22" s="67"/>
    </row>
    <row r="23" spans="1:11">
      <c r="A23" s="67"/>
      <c r="B23" s="711"/>
      <c r="C23" s="67"/>
      <c r="D23" s="67"/>
      <c r="E23" s="67"/>
    </row>
    <row r="24" spans="1:11" ht="17">
      <c r="A24" s="15" t="s">
        <v>255</v>
      </c>
      <c r="B24" s="16"/>
      <c r="C24" s="16"/>
      <c r="D24" s="16"/>
      <c r="E24" s="16"/>
      <c r="F24" s="16"/>
      <c r="G24" s="16"/>
      <c r="H24" s="16"/>
      <c r="I24" s="16"/>
      <c r="J24" s="16"/>
      <c r="K24" s="16"/>
    </row>
    <row r="25" spans="1:11" ht="17">
      <c r="A25" s="6" t="s">
        <v>132</v>
      </c>
      <c r="B25" s="717">
        <v>23735</v>
      </c>
      <c r="C25" t="s">
        <v>14</v>
      </c>
      <c r="D25" t="s">
        <v>1</v>
      </c>
      <c r="E25" t="s">
        <v>102</v>
      </c>
    </row>
    <row r="26" spans="1:11" ht="17">
      <c r="A26" s="6" t="s">
        <v>132</v>
      </c>
      <c r="B26" s="718">
        <f>B25*kwhPerKtoe</f>
        <v>276038050000</v>
      </c>
      <c r="C26" t="s">
        <v>38</v>
      </c>
    </row>
    <row r="27" spans="1:11" ht="34">
      <c r="A27" s="6" t="s">
        <v>434</v>
      </c>
      <c r="B27" s="719">
        <v>19352</v>
      </c>
      <c r="D27" t="s">
        <v>1</v>
      </c>
      <c r="E27" t="s">
        <v>102</v>
      </c>
    </row>
    <row r="28" spans="1:11" ht="17">
      <c r="A28" s="6" t="s">
        <v>132</v>
      </c>
      <c r="B28" s="718">
        <f>B27*kwhPerKtoe</f>
        <v>225063760000</v>
      </c>
      <c r="C28" t="s">
        <v>38</v>
      </c>
      <c r="D28" s="714"/>
    </row>
    <row r="29" spans="1:11" ht="17">
      <c r="A29" s="6" t="s">
        <v>257</v>
      </c>
      <c r="B29" s="718">
        <f>C96</f>
        <v>23525241.579999998</v>
      </c>
    </row>
    <row r="30" spans="1:11" ht="17">
      <c r="A30" s="6" t="s">
        <v>4</v>
      </c>
      <c r="B30" s="720">
        <f>C96/C95</f>
        <v>0.83559681832152144</v>
      </c>
    </row>
    <row r="31" spans="1:11" ht="17">
      <c r="A31" s="6" t="s">
        <v>83</v>
      </c>
      <c r="B31" s="718">
        <f>B26/(numberDwellingsUK*B30)</f>
        <v>11733.696721510991</v>
      </c>
      <c r="C31" t="s">
        <v>38</v>
      </c>
      <c r="D31" t="s">
        <v>819</v>
      </c>
    </row>
    <row r="32" spans="1:11" ht="17">
      <c r="A32" s="6" t="s">
        <v>436</v>
      </c>
      <c r="B32" s="721">
        <f>B27/B25</f>
        <v>0.81533600168527487</v>
      </c>
      <c r="C32" t="s">
        <v>38</v>
      </c>
    </row>
    <row r="33" spans="1:11" ht="34">
      <c r="A33" s="6" t="s">
        <v>767</v>
      </c>
      <c r="B33" s="227">
        <v>0.32</v>
      </c>
      <c r="C33" t="s">
        <v>769</v>
      </c>
    </row>
    <row r="34" spans="1:11">
      <c r="A34" s="6"/>
    </row>
    <row r="35" spans="1:11" ht="17">
      <c r="A35" s="15" t="s">
        <v>228</v>
      </c>
      <c r="B35" s="16"/>
      <c r="C35" s="16"/>
      <c r="D35" s="16"/>
      <c r="E35" s="16"/>
      <c r="F35" s="16"/>
      <c r="G35" s="16"/>
      <c r="H35" s="16"/>
      <c r="I35" s="16"/>
      <c r="J35" s="16"/>
      <c r="K35" s="16"/>
    </row>
    <row r="36" spans="1:11" ht="17">
      <c r="A36" s="13" t="s">
        <v>266</v>
      </c>
      <c r="B36" s="722">
        <v>2549.6025188909316</v>
      </c>
      <c r="C36" t="s">
        <v>14</v>
      </c>
      <c r="D36" t="s">
        <v>1</v>
      </c>
      <c r="E36" t="s">
        <v>102</v>
      </c>
    </row>
    <row r="37" spans="1:11">
      <c r="A37" s="13"/>
      <c r="B37" s="723">
        <f>B36*kwhPerKtoe</f>
        <v>29651877294.701534</v>
      </c>
      <c r="C37" t="s">
        <v>38</v>
      </c>
    </row>
    <row r="38" spans="1:11" ht="34">
      <c r="A38" s="6" t="s">
        <v>435</v>
      </c>
      <c r="B38" s="724">
        <v>2079</v>
      </c>
      <c r="C38" t="s">
        <v>14</v>
      </c>
      <c r="D38" t="s">
        <v>1</v>
      </c>
      <c r="E38" t="s">
        <v>102</v>
      </c>
    </row>
    <row r="39" spans="1:11" ht="17">
      <c r="A39" s="6" t="s">
        <v>266</v>
      </c>
      <c r="B39" s="723">
        <f>B38*kwhPerKtoe</f>
        <v>24178770000</v>
      </c>
      <c r="C39" t="s">
        <v>38</v>
      </c>
      <c r="D39" s="714"/>
    </row>
    <row r="40" spans="1:11" ht="17">
      <c r="A40" s="6" t="s">
        <v>259</v>
      </c>
      <c r="B40" s="126">
        <f>C97</f>
        <v>1510201.9</v>
      </c>
    </row>
    <row r="41" spans="1:11" ht="17">
      <c r="A41" s="6" t="s">
        <v>359</v>
      </c>
      <c r="B41" s="2">
        <f>numberHomesOilHeating/numberDwellingsUK</f>
        <v>5.3641102828713927E-2</v>
      </c>
    </row>
    <row r="42" spans="1:11" ht="17">
      <c r="A42" s="6" t="s">
        <v>617</v>
      </c>
      <c r="B42" s="126">
        <f>B37/numberHomesOilHeating</f>
        <v>19634.379545345251</v>
      </c>
      <c r="C42" t="s">
        <v>38</v>
      </c>
      <c r="D42" t="s">
        <v>432</v>
      </c>
    </row>
    <row r="43" spans="1:11" ht="17">
      <c r="A43" s="6" t="s">
        <v>442</v>
      </c>
      <c r="B43" s="2">
        <f>B38/B36</f>
        <v>0.81542122138487605</v>
      </c>
      <c r="D43" t="s">
        <v>437</v>
      </c>
    </row>
    <row r="44" spans="1:11" ht="34">
      <c r="A44" s="6" t="s">
        <v>768</v>
      </c>
      <c r="B44" s="443">
        <v>0.78</v>
      </c>
      <c r="C44" t="s">
        <v>769</v>
      </c>
    </row>
    <row r="45" spans="1:11">
      <c r="A45" s="6"/>
      <c r="B45" s="610"/>
    </row>
    <row r="46" spans="1:11" ht="17">
      <c r="A46" s="15" t="s">
        <v>256</v>
      </c>
      <c r="B46" s="16"/>
      <c r="C46" s="16"/>
      <c r="D46" s="16"/>
      <c r="E46" s="16"/>
      <c r="F46" s="16"/>
      <c r="G46" s="16"/>
      <c r="H46" s="16"/>
      <c r="I46" s="16"/>
      <c r="J46" s="16"/>
      <c r="K46" s="16"/>
    </row>
    <row r="47" spans="1:11" ht="34">
      <c r="A47" s="6" t="s">
        <v>163</v>
      </c>
      <c r="B47" s="725">
        <v>1475</v>
      </c>
      <c r="C47" t="s">
        <v>14</v>
      </c>
      <c r="D47" t="s">
        <v>1</v>
      </c>
      <c r="E47" t="s">
        <v>102</v>
      </c>
    </row>
    <row r="48" spans="1:11" ht="34">
      <c r="A48" s="6" t="s">
        <v>164</v>
      </c>
      <c r="B48" s="725">
        <v>405</v>
      </c>
      <c r="C48" t="s">
        <v>14</v>
      </c>
      <c r="D48" t="s">
        <v>1</v>
      </c>
    </row>
    <row r="49" spans="1:6" ht="34">
      <c r="A49" s="6" t="s">
        <v>165</v>
      </c>
      <c r="B49" s="723">
        <f>(B47+B48)*kwhPerKtoe</f>
        <v>21864400000</v>
      </c>
      <c r="C49" t="s">
        <v>38</v>
      </c>
    </row>
    <row r="50" spans="1:6" ht="65.25" customHeight="1">
      <c r="A50" s="6" t="s">
        <v>282</v>
      </c>
      <c r="B50" s="726">
        <v>0.74</v>
      </c>
      <c r="D50" t="s">
        <v>230</v>
      </c>
      <c r="E50" t="s">
        <v>233</v>
      </c>
    </row>
    <row r="51" spans="1:6" ht="34">
      <c r="A51" s="6" t="s">
        <v>231</v>
      </c>
      <c r="B51" s="723">
        <f>TotalDomesticElecHeatingkwh*B50</f>
        <v>16179656000</v>
      </c>
      <c r="C51" t="s">
        <v>38</v>
      </c>
    </row>
    <row r="52" spans="1:6" ht="34">
      <c r="A52" s="6" t="s">
        <v>226</v>
      </c>
      <c r="B52" s="784">
        <f>C98</f>
        <v>1317747.6248648649</v>
      </c>
    </row>
    <row r="53" spans="1:6" ht="34">
      <c r="A53" s="6" t="s">
        <v>227</v>
      </c>
      <c r="B53" s="784">
        <f>C99</f>
        <v>826841.51513513515</v>
      </c>
    </row>
    <row r="54" spans="1:6" ht="34">
      <c r="A54" s="6" t="s">
        <v>357</v>
      </c>
      <c r="B54" s="727">
        <f>numberHomesStorageHeater/numberDwellingsUK</f>
        <v>4.6805288648934795E-2</v>
      </c>
    </row>
    <row r="55" spans="1:6" ht="34">
      <c r="A55" s="6" t="s">
        <v>358</v>
      </c>
      <c r="B55" s="727">
        <f>numberHomesOtherElectricHeaters/numberDwellingsUK</f>
        <v>2.9368716021621621E-2</v>
      </c>
    </row>
    <row r="56" spans="1:6" ht="17">
      <c r="A56" s="6" t="s">
        <v>166</v>
      </c>
      <c r="B56" s="728">
        <f>B51/(B52+B53)</f>
        <v>7544.4082496845986</v>
      </c>
      <c r="C56" t="s">
        <v>38</v>
      </c>
      <c r="D56" t="s">
        <v>232</v>
      </c>
      <c r="E56" t="s">
        <v>234</v>
      </c>
      <c r="F56" s="21"/>
    </row>
    <row r="57" spans="1:6" ht="34">
      <c r="A57" s="6" t="s">
        <v>248</v>
      </c>
      <c r="B57" s="723">
        <f>B51*B52/SUM(B52:B53)</f>
        <v>9941626052.0327721</v>
      </c>
      <c r="C57" t="s">
        <v>38</v>
      </c>
    </row>
    <row r="58" spans="1:6" ht="34">
      <c r="A58" s="6" t="s">
        <v>249</v>
      </c>
      <c r="B58" s="143">
        <f>B51*B53/SUM(B52:B53)</f>
        <v>6238029947.967227</v>
      </c>
      <c r="C58" t="s">
        <v>38</v>
      </c>
    </row>
    <row r="59" spans="1:6">
      <c r="A59" s="6"/>
    </row>
    <row r="60" spans="1:6">
      <c r="A60" s="189" t="s">
        <v>443</v>
      </c>
      <c r="B60" s="12"/>
      <c r="C60" s="12"/>
      <c r="D60" s="12"/>
      <c r="E60" s="12"/>
    </row>
    <row r="61" spans="1:6" ht="17">
      <c r="A61" s="5" t="s">
        <v>201</v>
      </c>
    </row>
    <row r="62" spans="1:6" ht="17">
      <c r="A62" s="6" t="s">
        <v>208</v>
      </c>
      <c r="C62" s="126">
        <f>B18</f>
        <v>56550138</v>
      </c>
    </row>
    <row r="63" spans="1:6">
      <c r="A63" t="s">
        <v>210</v>
      </c>
      <c r="C63" s="228">
        <v>23500000</v>
      </c>
      <c r="E63" t="s">
        <v>205</v>
      </c>
    </row>
    <row r="64" spans="1:6">
      <c r="A64" t="s">
        <v>222</v>
      </c>
      <c r="B64" s="227">
        <v>0.86</v>
      </c>
      <c r="C64" s="126">
        <f>B64*C$63</f>
        <v>20210000</v>
      </c>
      <c r="E64" t="s">
        <v>205</v>
      </c>
    </row>
    <row r="65" spans="1:6">
      <c r="A65" t="s">
        <v>228</v>
      </c>
      <c r="B65" s="227">
        <v>0.03</v>
      </c>
      <c r="C65" s="126">
        <f>B65*C$63</f>
        <v>705000</v>
      </c>
      <c r="E65" t="s">
        <v>205</v>
      </c>
    </row>
    <row r="66" spans="1:6">
      <c r="A66" t="s">
        <v>202</v>
      </c>
      <c r="B66" s="715">
        <v>4.3999999999999997E-2</v>
      </c>
      <c r="C66" s="126">
        <f>B66*C$63</f>
        <v>1033999.9999999999</v>
      </c>
      <c r="E66" t="s">
        <v>205</v>
      </c>
    </row>
    <row r="67" spans="1:6">
      <c r="A67" t="s">
        <v>203</v>
      </c>
      <c r="B67" s="715">
        <v>0.03</v>
      </c>
      <c r="C67" s="126">
        <f>B67*C$63</f>
        <v>705000</v>
      </c>
      <c r="E67" t="s">
        <v>205</v>
      </c>
      <c r="F67" s="21" t="s">
        <v>834</v>
      </c>
    </row>
    <row r="68" spans="1:6">
      <c r="B68" s="2">
        <f>SUM(B64:B67)</f>
        <v>0.96400000000000008</v>
      </c>
      <c r="C68" s="126"/>
      <c r="F68" s="21" t="s">
        <v>852</v>
      </c>
    </row>
    <row r="69" spans="1:6">
      <c r="A69" s="19" t="s">
        <v>223</v>
      </c>
      <c r="B69" s="126"/>
      <c r="C69" s="126"/>
    </row>
    <row r="70" spans="1:6" ht="17">
      <c r="A70" s="6" t="s">
        <v>208</v>
      </c>
      <c r="C70" s="126">
        <f>B20</f>
        <v>5466000</v>
      </c>
    </row>
    <row r="71" spans="1:6">
      <c r="A71" t="s">
        <v>210</v>
      </c>
      <c r="C71" s="228">
        <v>2470000</v>
      </c>
      <c r="E71" t="s">
        <v>207</v>
      </c>
    </row>
    <row r="72" spans="1:6">
      <c r="A72" t="s">
        <v>222</v>
      </c>
      <c r="B72" s="715">
        <v>0.80100000000000005</v>
      </c>
      <c r="C72" s="126">
        <f>B72*C$71</f>
        <v>1978470</v>
      </c>
      <c r="E72" t="s">
        <v>207</v>
      </c>
    </row>
    <row r="73" spans="1:6">
      <c r="A73" t="s">
        <v>228</v>
      </c>
      <c r="B73" s="715">
        <v>5.6000000000000001E-2</v>
      </c>
      <c r="C73" s="126">
        <f>B73*C$71</f>
        <v>138320</v>
      </c>
      <c r="E73" t="s">
        <v>207</v>
      </c>
    </row>
    <row r="74" spans="1:6">
      <c r="A74" t="s">
        <v>202</v>
      </c>
      <c r="B74" s="716">
        <v>7.9000000000000001E-2</v>
      </c>
      <c r="C74" s="126">
        <f>B74*C$71</f>
        <v>195130</v>
      </c>
      <c r="E74" t="s">
        <v>207</v>
      </c>
    </row>
    <row r="75" spans="1:6">
      <c r="A75" t="s">
        <v>203</v>
      </c>
      <c r="B75" s="716">
        <v>2.9000000000000001E-2</v>
      </c>
      <c r="C75" s="126">
        <f>B75*C$71</f>
        <v>71630</v>
      </c>
      <c r="E75" t="s">
        <v>207</v>
      </c>
    </row>
    <row r="76" spans="1:6">
      <c r="B76" s="2">
        <f>SUM(B72:B75)</f>
        <v>0.96500000000000008</v>
      </c>
      <c r="C76" s="126"/>
    </row>
    <row r="77" spans="1:6">
      <c r="A77" s="19" t="s">
        <v>200</v>
      </c>
      <c r="C77" s="126"/>
    </row>
    <row r="78" spans="1:6" ht="17">
      <c r="A78" s="6" t="s">
        <v>208</v>
      </c>
      <c r="C78" s="126">
        <f>B17-B18-B20</f>
        <v>5065096</v>
      </c>
    </row>
    <row r="79" spans="1:6">
      <c r="A79" t="s">
        <v>210</v>
      </c>
      <c r="C79" s="767">
        <v>1403819</v>
      </c>
      <c r="E79" s="14" t="s">
        <v>816</v>
      </c>
    </row>
    <row r="80" spans="1:6">
      <c r="A80" t="s">
        <v>222</v>
      </c>
      <c r="B80" s="227">
        <v>0.82</v>
      </c>
      <c r="C80" s="126">
        <f>B80*C$79</f>
        <v>1151131.5799999998</v>
      </c>
      <c r="E80" s="126" t="s">
        <v>214</v>
      </c>
    </row>
    <row r="81" spans="1:7">
      <c r="A81" t="s">
        <v>228</v>
      </c>
      <c r="B81" s="227">
        <v>0.1</v>
      </c>
      <c r="C81" s="126">
        <f>B81*C$79</f>
        <v>140381.9</v>
      </c>
      <c r="E81" s="126" t="s">
        <v>214</v>
      </c>
    </row>
    <row r="82" spans="1:7">
      <c r="A82" t="s">
        <v>202</v>
      </c>
      <c r="B82" s="227">
        <v>0.04</v>
      </c>
      <c r="C82" s="126">
        <f>B82*C$79</f>
        <v>56152.76</v>
      </c>
      <c r="E82" s="126" t="s">
        <v>214</v>
      </c>
    </row>
    <row r="83" spans="1:7">
      <c r="A83" t="s">
        <v>203</v>
      </c>
      <c r="B83" s="227">
        <v>0.02</v>
      </c>
      <c r="C83" s="126">
        <f>B83*C$79</f>
        <v>28076.38</v>
      </c>
      <c r="E83" s="126" t="s">
        <v>214</v>
      </c>
    </row>
    <row r="84" spans="1:7">
      <c r="B84" s="2">
        <f>SUM(B80:B83)</f>
        <v>0.98</v>
      </c>
      <c r="C84" s="126"/>
    </row>
    <row r="85" spans="1:7">
      <c r="A85" s="19" t="s">
        <v>224</v>
      </c>
      <c r="C85" s="126"/>
    </row>
    <row r="86" spans="1:7" ht="17">
      <c r="A86" s="6" t="s">
        <v>208</v>
      </c>
      <c r="C86" s="126">
        <f>B22</f>
        <v>1895510</v>
      </c>
    </row>
    <row r="87" spans="1:7">
      <c r="A87" t="s">
        <v>210</v>
      </c>
      <c r="C87" s="729">
        <v>780000</v>
      </c>
      <c r="E87" t="s">
        <v>217</v>
      </c>
      <c r="F87" t="s">
        <v>218</v>
      </c>
      <c r="G87">
        <f>C86/C87</f>
        <v>2.4301410256410256</v>
      </c>
    </row>
    <row r="88" spans="1:7">
      <c r="A88" t="s">
        <v>222</v>
      </c>
      <c r="B88" s="715">
        <v>0.23799999999999999</v>
      </c>
      <c r="C88" s="126">
        <f>B88*C$87</f>
        <v>185640</v>
      </c>
      <c r="E88" t="s">
        <v>217</v>
      </c>
    </row>
    <row r="89" spans="1:7">
      <c r="A89" t="s">
        <v>228</v>
      </c>
      <c r="B89" s="715">
        <v>0.67500000000000004</v>
      </c>
      <c r="C89" s="126">
        <f>B89*C$87</f>
        <v>526500</v>
      </c>
      <c r="E89" t="s">
        <v>217</v>
      </c>
    </row>
    <row r="90" spans="1:7">
      <c r="A90" t="s">
        <v>828</v>
      </c>
      <c r="B90" s="715">
        <v>7.0000000000000007E-2</v>
      </c>
      <c r="C90" s="126"/>
      <c r="E90" t="s">
        <v>217</v>
      </c>
      <c r="F90" t="s">
        <v>799</v>
      </c>
    </row>
    <row r="91" spans="1:7">
      <c r="A91" t="s">
        <v>202</v>
      </c>
      <c r="B91" s="125">
        <f>B90*(B66/(B66+B67))</f>
        <v>4.1621621621621627E-2</v>
      </c>
      <c r="C91" s="126">
        <f>B91*C$87</f>
        <v>32464.86486486487</v>
      </c>
      <c r="E91" t="s">
        <v>225</v>
      </c>
    </row>
    <row r="92" spans="1:7">
      <c r="A92" t="s">
        <v>203</v>
      </c>
      <c r="B92" s="2">
        <f>B90-B91</f>
        <v>2.837837837837838E-2</v>
      </c>
      <c r="C92" s="126">
        <f>B92*C$87</f>
        <v>22135.135135135137</v>
      </c>
    </row>
    <row r="93" spans="1:7">
      <c r="B93" s="2">
        <f>SUM(B88:B92)-B90</f>
        <v>0.9830000000000001</v>
      </c>
      <c r="C93" s="126"/>
    </row>
    <row r="94" spans="1:7">
      <c r="A94" s="19" t="s">
        <v>305</v>
      </c>
      <c r="B94" s="2"/>
      <c r="C94" s="126"/>
    </row>
    <row r="95" spans="1:7">
      <c r="A95" t="s">
        <v>247</v>
      </c>
      <c r="C95" s="126">
        <f>C63+C71+C79+C87</f>
        <v>28153819</v>
      </c>
    </row>
    <row r="96" spans="1:7">
      <c r="A96" t="s">
        <v>219</v>
      </c>
      <c r="C96" s="766">
        <f>C64+C72+C80+C88</f>
        <v>23525241.579999998</v>
      </c>
    </row>
    <row r="97" spans="1:3">
      <c r="A97" t="s">
        <v>229</v>
      </c>
      <c r="C97" s="766">
        <f>C65+C73+C81+C89</f>
        <v>1510201.9</v>
      </c>
    </row>
    <row r="98" spans="1:3">
      <c r="A98" t="s">
        <v>220</v>
      </c>
      <c r="C98" s="766">
        <f>C66+C74+C82+C91</f>
        <v>1317747.6248648649</v>
      </c>
    </row>
    <row r="99" spans="1:3">
      <c r="A99" t="s">
        <v>221</v>
      </c>
      <c r="C99" s="766">
        <f>C67+C75+C83+C92</f>
        <v>826841.51513513515</v>
      </c>
    </row>
    <row r="100" spans="1:3">
      <c r="C100" s="2">
        <f>SUM(C96:C99)/C95</f>
        <v>0.96541192582079172</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50"/>
  <sheetViews>
    <sheetView workbookViewId="0">
      <selection activeCell="D6" sqref="D6"/>
    </sheetView>
  </sheetViews>
  <sheetFormatPr baseColWidth="10" defaultColWidth="10.5" defaultRowHeight="16"/>
  <cols>
    <col min="1" max="1" width="18.5" customWidth="1"/>
    <col min="2" max="3" width="16" customWidth="1"/>
    <col min="4" max="4" width="7" customWidth="1"/>
    <col min="5" max="6" width="20" customWidth="1"/>
    <col min="7" max="7" width="7.33203125" customWidth="1"/>
  </cols>
  <sheetData>
    <row r="1" spans="1:9">
      <c r="A1" s="19" t="s">
        <v>306</v>
      </c>
      <c r="F1" t="s">
        <v>307</v>
      </c>
    </row>
    <row r="2" spans="1:9">
      <c r="A2" t="s">
        <v>671</v>
      </c>
    </row>
    <row r="4" spans="1:9">
      <c r="A4" s="790" t="s">
        <v>868</v>
      </c>
      <c r="B4" s="14"/>
      <c r="C4" s="14"/>
      <c r="D4" s="14"/>
      <c r="E4" s="14"/>
      <c r="F4" s="14"/>
      <c r="G4" s="14"/>
      <c r="H4" s="21"/>
    </row>
    <row r="5" spans="1:9">
      <c r="A5" s="14"/>
      <c r="B5" s="14" t="s">
        <v>353</v>
      </c>
      <c r="C5" s="14" t="s">
        <v>856</v>
      </c>
      <c r="D5" s="14" t="s">
        <v>308</v>
      </c>
      <c r="E5" s="14"/>
      <c r="F5" s="14"/>
      <c r="G5" s="14"/>
      <c r="H5" s="21"/>
    </row>
    <row r="6" spans="1:9">
      <c r="A6" s="14"/>
      <c r="B6" s="795">
        <v>34</v>
      </c>
      <c r="C6" s="796">
        <f>B6</f>
        <v>34</v>
      </c>
      <c r="D6" s="795">
        <v>10.3</v>
      </c>
      <c r="E6" s="14" t="s">
        <v>40</v>
      </c>
      <c r="F6" s="14" t="s">
        <v>857</v>
      </c>
      <c r="G6" s="14" t="s">
        <v>869</v>
      </c>
      <c r="H6" s="21"/>
    </row>
    <row r="8" spans="1:9">
      <c r="A8" s="19" t="s">
        <v>669</v>
      </c>
    </row>
    <row r="9" spans="1:9">
      <c r="B9" s="730" t="s">
        <v>312</v>
      </c>
      <c r="C9" s="731"/>
      <c r="E9" s="730" t="s">
        <v>311</v>
      </c>
      <c r="F9" s="731"/>
      <c r="H9" s="730" t="s">
        <v>853</v>
      </c>
      <c r="I9" s="731"/>
    </row>
    <row r="10" spans="1:9">
      <c r="B10" s="732" t="s">
        <v>310</v>
      </c>
      <c r="C10" s="733" t="s">
        <v>236</v>
      </c>
      <c r="E10" s="732" t="s">
        <v>310</v>
      </c>
      <c r="F10" s="733" t="s">
        <v>236</v>
      </c>
      <c r="H10" s="732" t="s">
        <v>310</v>
      </c>
      <c r="I10" s="733" t="s">
        <v>236</v>
      </c>
    </row>
    <row r="11" spans="1:9">
      <c r="A11" t="s">
        <v>237</v>
      </c>
      <c r="B11" s="734">
        <v>170.81</v>
      </c>
      <c r="C11" s="735">
        <v>1766.8</v>
      </c>
      <c r="D11" s="147"/>
      <c r="E11" s="741">
        <f>B11+0.28</f>
        <v>171.09</v>
      </c>
      <c r="F11" s="735">
        <v>2215.9499999999998</v>
      </c>
      <c r="G11" s="147"/>
      <c r="H11" s="732">
        <v>116.58</v>
      </c>
      <c r="I11" s="735">
        <v>1892.61</v>
      </c>
    </row>
    <row r="12" spans="1:9">
      <c r="A12" t="s">
        <v>238</v>
      </c>
      <c r="B12" s="734">
        <v>195.25</v>
      </c>
      <c r="C12" s="735">
        <v>1752.79</v>
      </c>
      <c r="D12" s="147"/>
      <c r="E12" s="741">
        <f t="shared" ref="E12:E24" si="0">B12+0.28</f>
        <v>195.53</v>
      </c>
      <c r="F12" s="735">
        <v>2194.84</v>
      </c>
      <c r="G12" s="147"/>
      <c r="H12" s="732">
        <v>116.58</v>
      </c>
      <c r="I12" s="735">
        <v>1877.29</v>
      </c>
    </row>
    <row r="13" spans="1:9">
      <c r="A13" t="s">
        <v>239</v>
      </c>
      <c r="B13" s="734">
        <v>193.83</v>
      </c>
      <c r="C13" s="735">
        <v>1775.92</v>
      </c>
      <c r="D13" s="147"/>
      <c r="E13" s="741">
        <f t="shared" si="0"/>
        <v>194.11</v>
      </c>
      <c r="F13" s="735">
        <v>2224.29</v>
      </c>
      <c r="G13" s="147"/>
      <c r="H13" s="732">
        <v>116.58</v>
      </c>
      <c r="I13" s="735">
        <v>1882.53</v>
      </c>
    </row>
    <row r="14" spans="1:9">
      <c r="A14" t="s">
        <v>673</v>
      </c>
      <c r="B14" s="734">
        <v>199.43</v>
      </c>
      <c r="C14" s="735">
        <v>1782.75</v>
      </c>
      <c r="D14" s="147"/>
      <c r="E14" s="741">
        <f t="shared" si="0"/>
        <v>199.71</v>
      </c>
      <c r="F14" s="735">
        <v>2235.4499999999998</v>
      </c>
      <c r="G14" s="147"/>
      <c r="H14" s="732">
        <v>116.58</v>
      </c>
      <c r="I14" s="735">
        <v>1886.54</v>
      </c>
    </row>
    <row r="15" spans="1:9">
      <c r="A15" t="s">
        <v>674</v>
      </c>
      <c r="B15" s="734">
        <v>175.03</v>
      </c>
      <c r="C15" s="735">
        <v>1794.36</v>
      </c>
      <c r="D15" s="147"/>
      <c r="E15" s="741">
        <f t="shared" si="0"/>
        <v>175.31</v>
      </c>
      <c r="F15" s="735">
        <v>2248.79</v>
      </c>
      <c r="G15" s="147"/>
      <c r="H15" s="732">
        <v>116.58</v>
      </c>
      <c r="I15" s="735">
        <v>1908.27</v>
      </c>
    </row>
    <row r="16" spans="1:9">
      <c r="A16" t="s">
        <v>677</v>
      </c>
      <c r="B16" s="734">
        <v>197.93</v>
      </c>
      <c r="C16" s="735">
        <v>1802.85</v>
      </c>
      <c r="D16" s="147"/>
      <c r="E16" s="741">
        <f t="shared" si="0"/>
        <v>198.21</v>
      </c>
      <c r="F16" s="735">
        <v>2253.54</v>
      </c>
      <c r="G16" s="147"/>
      <c r="H16" s="732">
        <v>116.58</v>
      </c>
      <c r="I16" s="735">
        <v>1886.52</v>
      </c>
    </row>
    <row r="17" spans="1:9">
      <c r="A17" t="s">
        <v>672</v>
      </c>
      <c r="B17" s="734">
        <v>190.36</v>
      </c>
      <c r="C17" s="735">
        <v>1864.33</v>
      </c>
      <c r="D17" s="147"/>
      <c r="E17" s="741">
        <f t="shared" si="0"/>
        <v>190.64000000000001</v>
      </c>
      <c r="F17" s="735">
        <v>2325.92</v>
      </c>
      <c r="G17" s="147"/>
      <c r="H17" s="732">
        <v>116.58</v>
      </c>
      <c r="I17" s="735">
        <v>1894.54</v>
      </c>
    </row>
    <row r="18" spans="1:9">
      <c r="A18" t="s">
        <v>240</v>
      </c>
      <c r="B18" s="734">
        <v>133.79</v>
      </c>
      <c r="C18" s="735">
        <v>1802</v>
      </c>
      <c r="D18" s="147"/>
      <c r="E18" s="741">
        <f t="shared" si="0"/>
        <v>134.07</v>
      </c>
      <c r="F18" s="735">
        <v>2262.71</v>
      </c>
      <c r="G18" s="147"/>
      <c r="H18" s="732">
        <v>116.58</v>
      </c>
      <c r="I18" s="735">
        <v>1914.58</v>
      </c>
    </row>
    <row r="19" spans="1:9">
      <c r="A19" t="s">
        <v>675</v>
      </c>
      <c r="B19" s="734">
        <v>168.68</v>
      </c>
      <c r="C19" s="735">
        <v>1821.86</v>
      </c>
      <c r="D19" s="147"/>
      <c r="E19" s="741">
        <f t="shared" si="0"/>
        <v>168.96</v>
      </c>
      <c r="F19" s="735">
        <v>2275.9499999999998</v>
      </c>
      <c r="G19" s="147"/>
      <c r="H19" s="732">
        <v>116.58</v>
      </c>
      <c r="I19" s="735">
        <v>1888.76</v>
      </c>
    </row>
    <row r="20" spans="1:9">
      <c r="A20" t="s">
        <v>241</v>
      </c>
      <c r="B20" s="734">
        <v>154.96</v>
      </c>
      <c r="C20" s="735">
        <v>1800.15</v>
      </c>
      <c r="D20" s="147"/>
      <c r="E20" s="741">
        <f t="shared" si="0"/>
        <v>155.24</v>
      </c>
      <c r="F20" s="735">
        <v>2253.7199999999998</v>
      </c>
      <c r="G20" s="147"/>
      <c r="H20" s="732">
        <v>116.58</v>
      </c>
      <c r="I20" s="735">
        <v>1890.47</v>
      </c>
    </row>
    <row r="21" spans="1:9">
      <c r="A21" t="s">
        <v>242</v>
      </c>
      <c r="B21" s="734">
        <v>179.99</v>
      </c>
      <c r="C21" s="735">
        <v>1761.76</v>
      </c>
      <c r="D21" s="147"/>
      <c r="E21" s="741">
        <f t="shared" si="0"/>
        <v>180.27</v>
      </c>
      <c r="F21" s="735">
        <v>2209.59</v>
      </c>
      <c r="G21" s="147"/>
      <c r="H21" s="732">
        <v>116.58</v>
      </c>
      <c r="I21" s="735">
        <v>1881.76</v>
      </c>
    </row>
    <row r="22" spans="1:9">
      <c r="A22" t="s">
        <v>243</v>
      </c>
      <c r="B22" s="734">
        <v>192.37</v>
      </c>
      <c r="C22" s="735">
        <v>1796.16</v>
      </c>
      <c r="D22" s="147"/>
      <c r="E22" s="741">
        <f t="shared" si="0"/>
        <v>192.65</v>
      </c>
      <c r="F22" s="735">
        <v>2250.7199999999998</v>
      </c>
      <c r="G22" s="147"/>
      <c r="H22" s="732">
        <v>116.58</v>
      </c>
      <c r="I22" s="735">
        <v>1893.43</v>
      </c>
    </row>
    <row r="23" spans="1:9">
      <c r="A23" t="s">
        <v>676</v>
      </c>
      <c r="B23" s="734">
        <v>205.18</v>
      </c>
      <c r="C23" s="735">
        <v>1813.13</v>
      </c>
      <c r="D23" s="147"/>
      <c r="E23" s="741">
        <f t="shared" si="0"/>
        <v>205.46</v>
      </c>
      <c r="F23" s="735">
        <v>2263.6</v>
      </c>
      <c r="G23" s="147"/>
      <c r="H23" s="732">
        <v>116.58</v>
      </c>
      <c r="I23" s="735">
        <v>1904.51</v>
      </c>
    </row>
    <row r="24" spans="1:9">
      <c r="A24" t="s">
        <v>244</v>
      </c>
      <c r="B24" s="734">
        <v>192.45</v>
      </c>
      <c r="C24" s="735">
        <v>1803.91</v>
      </c>
      <c r="D24" s="147"/>
      <c r="E24" s="741">
        <f t="shared" si="0"/>
        <v>192.73</v>
      </c>
      <c r="F24" s="735">
        <v>1159.07</v>
      </c>
      <c r="G24" s="147"/>
      <c r="H24" s="732">
        <v>116.58</v>
      </c>
      <c r="I24" s="735">
        <v>1900.51</v>
      </c>
    </row>
    <row r="25" spans="1:9">
      <c r="A25" t="s">
        <v>309</v>
      </c>
      <c r="B25" s="737">
        <f>AVERAGE(B11:B24)</f>
        <v>182.14714285714282</v>
      </c>
      <c r="C25" s="738">
        <f>AVERAGE(C11:C24)</f>
        <v>1795.6264285714285</v>
      </c>
      <c r="D25" s="147"/>
      <c r="E25" s="737">
        <f>AVERAGE(E11:E24)</f>
        <v>182.42714285714285</v>
      </c>
      <c r="F25" s="738">
        <f>AVERAGE(F11:F24)</f>
        <v>2169.5814285714287</v>
      </c>
      <c r="G25" s="147"/>
      <c r="H25" s="737">
        <f>AVERAGE(H11:H24)</f>
        <v>116.57999999999997</v>
      </c>
      <c r="I25" s="735">
        <f>AVERAGE(I11:I24)</f>
        <v>1893.0228571428568</v>
      </c>
    </row>
    <row r="26" spans="1:9">
      <c r="A26" t="s">
        <v>40</v>
      </c>
      <c r="B26" s="739"/>
      <c r="C26" s="740">
        <f>(C25-B25)/3100*100</f>
        <v>52.047718894009208</v>
      </c>
      <c r="D26" s="128"/>
      <c r="E26" s="739"/>
      <c r="F26" s="740">
        <f>(F25-E25)/4200*100</f>
        <v>47.313197278911566</v>
      </c>
      <c r="G26" s="128"/>
      <c r="H26" s="739"/>
      <c r="I26" s="740">
        <f>(I25-H25)/12000*100</f>
        <v>14.803690476190473</v>
      </c>
    </row>
    <row r="31" spans="1:9">
      <c r="A31" s="19" t="s">
        <v>670</v>
      </c>
    </row>
    <row r="33" spans="1:9">
      <c r="B33" s="730" t="s">
        <v>312</v>
      </c>
      <c r="C33" s="731"/>
      <c r="E33" s="730" t="s">
        <v>311</v>
      </c>
      <c r="F33" s="731"/>
      <c r="H33" s="730" t="s">
        <v>853</v>
      </c>
      <c r="I33" s="731"/>
    </row>
    <row r="34" spans="1:9">
      <c r="B34" s="732" t="s">
        <v>310</v>
      </c>
      <c r="C34" s="733" t="s">
        <v>236</v>
      </c>
      <c r="E34" s="743" t="s">
        <v>310</v>
      </c>
      <c r="F34" s="742" t="s">
        <v>236</v>
      </c>
      <c r="H34" s="743" t="s">
        <v>310</v>
      </c>
      <c r="I34" s="742" t="s">
        <v>236</v>
      </c>
    </row>
    <row r="35" spans="1:9">
      <c r="A35" t="str">
        <f>A11</f>
        <v>North West</v>
      </c>
      <c r="B35" s="734">
        <v>166.49</v>
      </c>
      <c r="C35" s="735">
        <v>1037.8599999999999</v>
      </c>
      <c r="D35" s="147"/>
      <c r="E35" s="741">
        <f>B35+0.27</f>
        <v>166.76000000000002</v>
      </c>
      <c r="F35" s="733">
        <v>1279.3399999999999</v>
      </c>
      <c r="G35" s="147"/>
      <c r="H35" s="732">
        <v>111.35</v>
      </c>
      <c r="I35" s="735">
        <v>995.29</v>
      </c>
    </row>
    <row r="36" spans="1:9">
      <c r="A36" t="str">
        <f t="shared" ref="A36:A48" si="1">A12</f>
        <v>Northern</v>
      </c>
      <c r="B36" s="736">
        <v>190.93</v>
      </c>
      <c r="C36" s="735">
        <v>1033.3800000000001</v>
      </c>
      <c r="D36" s="147"/>
      <c r="E36" s="741">
        <f t="shared" ref="E36:E48" si="2">B36+0.27</f>
        <v>191.20000000000002</v>
      </c>
      <c r="F36" s="733">
        <v>1270.95</v>
      </c>
      <c r="G36" s="147"/>
      <c r="H36" s="732">
        <v>111.35</v>
      </c>
      <c r="I36" s="735">
        <v>981.22</v>
      </c>
    </row>
    <row r="37" spans="1:9">
      <c r="A37" t="str">
        <f t="shared" si="1"/>
        <v>Yorkshire</v>
      </c>
      <c r="B37" s="734">
        <v>189.51</v>
      </c>
      <c r="C37" s="735">
        <v>1040.28</v>
      </c>
      <c r="D37" s="147"/>
      <c r="E37" s="741">
        <f t="shared" si="2"/>
        <v>189.78</v>
      </c>
      <c r="F37" s="733">
        <v>1280.83</v>
      </c>
      <c r="G37" s="147"/>
      <c r="H37" s="732">
        <v>111.35</v>
      </c>
      <c r="I37" s="735">
        <v>987.77</v>
      </c>
    </row>
    <row r="38" spans="1:9">
      <c r="A38" t="str">
        <f t="shared" si="1"/>
        <v>Northern Scotland</v>
      </c>
      <c r="B38" s="734">
        <v>195.1</v>
      </c>
      <c r="C38" s="735">
        <v>1062.93</v>
      </c>
      <c r="D38" s="147"/>
      <c r="E38" s="741">
        <f t="shared" si="2"/>
        <v>195.37</v>
      </c>
      <c r="F38" s="733">
        <v>1310.7</v>
      </c>
      <c r="G38" s="147"/>
      <c r="H38" s="732">
        <v>111.35</v>
      </c>
      <c r="I38" s="735">
        <v>994.53</v>
      </c>
    </row>
    <row r="39" spans="1:9">
      <c r="A39" t="str">
        <f t="shared" si="1"/>
        <v>Southern</v>
      </c>
      <c r="B39" s="734">
        <v>170.7</v>
      </c>
      <c r="C39" s="735">
        <v>1055.5999999999999</v>
      </c>
      <c r="D39" s="147"/>
      <c r="E39" s="741">
        <f t="shared" si="2"/>
        <v>170.97</v>
      </c>
      <c r="F39" s="733">
        <v>1298.9100000000001</v>
      </c>
      <c r="G39" s="147"/>
      <c r="H39" s="732">
        <v>111.35</v>
      </c>
      <c r="I39" s="735">
        <v>1011.8</v>
      </c>
    </row>
    <row r="40" spans="1:9">
      <c r="A40" t="str">
        <f t="shared" si="1"/>
        <v>Southern Scotland</v>
      </c>
      <c r="B40" s="734">
        <v>193.61</v>
      </c>
      <c r="C40" s="735">
        <v>1059.3</v>
      </c>
      <c r="D40" s="147"/>
      <c r="E40" s="741">
        <f t="shared" si="2"/>
        <v>193.88000000000002</v>
      </c>
      <c r="F40" s="733">
        <v>1300.5</v>
      </c>
      <c r="G40" s="147"/>
      <c r="H40" s="732">
        <v>111.35</v>
      </c>
      <c r="I40" s="735">
        <v>994.5</v>
      </c>
    </row>
    <row r="41" spans="1:9">
      <c r="A41" t="str">
        <f t="shared" si="1"/>
        <v>N Wales and Mersey</v>
      </c>
      <c r="B41" s="734">
        <v>186.04</v>
      </c>
      <c r="C41" s="735">
        <v>1106.07</v>
      </c>
      <c r="D41" s="147"/>
      <c r="E41" s="741">
        <f t="shared" si="2"/>
        <v>186.31</v>
      </c>
      <c r="F41" s="733">
        <v>1353.32</v>
      </c>
      <c r="G41" s="147"/>
      <c r="H41" s="732">
        <v>111.35</v>
      </c>
      <c r="I41" s="735">
        <v>998.02</v>
      </c>
    </row>
    <row r="42" spans="1:9">
      <c r="A42" t="str">
        <f t="shared" si="1"/>
        <v>London</v>
      </c>
      <c r="B42" s="734">
        <v>129.47</v>
      </c>
      <c r="C42" s="735">
        <v>1051</v>
      </c>
      <c r="D42" s="147"/>
      <c r="E42" s="741">
        <f t="shared" si="2"/>
        <v>129.74</v>
      </c>
      <c r="F42" s="733">
        <v>1297.5899999999999</v>
      </c>
      <c r="G42" s="147"/>
      <c r="H42" s="732">
        <v>111.35</v>
      </c>
      <c r="I42" s="735">
        <v>1016.31</v>
      </c>
    </row>
    <row r="43" spans="1:9">
      <c r="A43" t="str">
        <f t="shared" si="1"/>
        <v>South East</v>
      </c>
      <c r="B43" s="734">
        <v>164.36</v>
      </c>
      <c r="C43" s="735">
        <v>1081.28</v>
      </c>
      <c r="D43" s="147"/>
      <c r="E43" s="741">
        <f t="shared" si="2"/>
        <v>164.63000000000002</v>
      </c>
      <c r="F43" s="733">
        <v>1323.38</v>
      </c>
      <c r="G43" s="147"/>
      <c r="H43" s="732">
        <v>111.35</v>
      </c>
      <c r="I43" s="735">
        <v>992.48</v>
      </c>
    </row>
    <row r="44" spans="1:9">
      <c r="A44" t="str">
        <f t="shared" si="1"/>
        <v>Eastern</v>
      </c>
      <c r="B44" s="734">
        <v>150.63999999999999</v>
      </c>
      <c r="C44" s="735">
        <v>1059.96</v>
      </c>
      <c r="D44" s="147"/>
      <c r="E44" s="741">
        <f t="shared" si="2"/>
        <v>150.91</v>
      </c>
      <c r="F44" s="733">
        <v>1302.01</v>
      </c>
      <c r="G44" s="147"/>
      <c r="H44" s="732">
        <v>111.35</v>
      </c>
      <c r="I44" s="735">
        <v>995.43</v>
      </c>
    </row>
    <row r="45" spans="1:9">
      <c r="A45" t="str">
        <f t="shared" si="1"/>
        <v>East Midlands</v>
      </c>
      <c r="B45" s="734">
        <v>175.67</v>
      </c>
      <c r="C45" s="735">
        <v>1034.82</v>
      </c>
      <c r="D45" s="147"/>
      <c r="E45" s="741">
        <f t="shared" si="2"/>
        <v>175.94</v>
      </c>
      <c r="F45" s="733">
        <v>1275.02</v>
      </c>
      <c r="G45" s="147"/>
      <c r="H45" s="732">
        <v>111.35</v>
      </c>
      <c r="I45" s="735">
        <v>988.03</v>
      </c>
    </row>
    <row r="46" spans="1:9">
      <c r="A46" t="str">
        <f t="shared" si="1"/>
        <v>Midlands</v>
      </c>
      <c r="B46" s="734">
        <v>188.05</v>
      </c>
      <c r="C46" s="735">
        <v>1054.58</v>
      </c>
      <c r="D46" s="147"/>
      <c r="E46" s="741">
        <f t="shared" si="2"/>
        <v>188.32000000000002</v>
      </c>
      <c r="F46" s="733">
        <v>1297.98</v>
      </c>
      <c r="G46" s="147"/>
      <c r="H46" s="732">
        <v>111.35</v>
      </c>
      <c r="I46" s="735">
        <v>998.24</v>
      </c>
    </row>
    <row r="47" spans="1:9">
      <c r="A47" t="str">
        <f t="shared" si="1"/>
        <v>Southern Western</v>
      </c>
      <c r="B47" s="734">
        <v>200.86</v>
      </c>
      <c r="C47" s="735">
        <v>1084.31</v>
      </c>
      <c r="D47" s="147"/>
      <c r="E47" s="741">
        <f t="shared" si="2"/>
        <v>201.13000000000002</v>
      </c>
      <c r="F47" s="733">
        <v>1325.08</v>
      </c>
      <c r="G47" s="147"/>
      <c r="H47" s="732">
        <v>111.35</v>
      </c>
      <c r="I47" s="735">
        <v>1011.39</v>
      </c>
    </row>
    <row r="48" spans="1:9">
      <c r="A48" t="str">
        <f t="shared" si="1"/>
        <v>S Wales</v>
      </c>
      <c r="B48" s="734">
        <v>188.13</v>
      </c>
      <c r="C48" s="735">
        <v>1067.8699999999999</v>
      </c>
      <c r="D48" s="147"/>
      <c r="E48" s="741">
        <f t="shared" si="2"/>
        <v>188.4</v>
      </c>
      <c r="F48" s="733">
        <v>1312.13</v>
      </c>
      <c r="G48" s="147"/>
      <c r="H48" s="732">
        <v>111.35</v>
      </c>
      <c r="I48" s="735">
        <v>1007.47</v>
      </c>
    </row>
    <row r="49" spans="1:9">
      <c r="A49" t="s">
        <v>309</v>
      </c>
      <c r="B49" s="737">
        <f>AVERAGE(B35:B48)</f>
        <v>177.82571428571433</v>
      </c>
      <c r="C49" s="738">
        <f>AVERAGE(C35:C48)</f>
        <v>1059.2314285714285</v>
      </c>
      <c r="D49" s="147"/>
      <c r="E49" s="737">
        <f>AVERAGE(E35:E48)</f>
        <v>178.09571428571434</v>
      </c>
      <c r="F49" s="738">
        <f>AVERAGE(F35:F48)</f>
        <v>1301.9814285714288</v>
      </c>
      <c r="G49" s="147"/>
      <c r="H49" s="737">
        <f>AVERAGE(H35:H48)</f>
        <v>111.34999999999998</v>
      </c>
      <c r="I49" s="735">
        <f>AVERAGE(I35:I48)</f>
        <v>998.0342857142856</v>
      </c>
    </row>
    <row r="50" spans="1:9">
      <c r="A50" t="s">
        <v>40</v>
      </c>
      <c r="B50" s="739"/>
      <c r="C50" s="740">
        <f>(C49-B49)/3100*100</f>
        <v>28.432442396313363</v>
      </c>
      <c r="D50" s="128"/>
      <c r="E50" s="739"/>
      <c r="F50" s="740">
        <f>(F49-E49)/4200*100</f>
        <v>26.759183673469387</v>
      </c>
      <c r="G50" s="128"/>
      <c r="H50" s="739"/>
      <c r="I50" s="740">
        <f>(I49-H49)/12000*100</f>
        <v>7.389035714285713</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dimension ref="A1:K33"/>
  <sheetViews>
    <sheetView workbookViewId="0">
      <selection activeCell="C3" sqref="C3"/>
    </sheetView>
  </sheetViews>
  <sheetFormatPr baseColWidth="10" defaultColWidth="11" defaultRowHeight="16"/>
  <cols>
    <col min="3" max="3" width="43.33203125" customWidth="1"/>
  </cols>
  <sheetData>
    <row r="1" spans="1:11" ht="30" customHeight="1">
      <c r="A1" s="111" t="s">
        <v>0</v>
      </c>
      <c r="B1" s="114" t="s">
        <v>151</v>
      </c>
      <c r="C1" s="111" t="s">
        <v>152</v>
      </c>
      <c r="D1" s="111" t="s">
        <v>153</v>
      </c>
      <c r="E1" s="16"/>
      <c r="F1" s="16"/>
      <c r="G1" s="16"/>
      <c r="H1" s="16"/>
      <c r="I1" s="16"/>
      <c r="J1" s="16"/>
      <c r="K1" s="16"/>
    </row>
    <row r="2" spans="1:11" ht="30" customHeight="1">
      <c r="A2" t="s">
        <v>517</v>
      </c>
      <c r="B2" s="25" t="s">
        <v>335</v>
      </c>
      <c r="C2" s="13" t="s">
        <v>874</v>
      </c>
      <c r="D2" s="118" t="s">
        <v>336</v>
      </c>
    </row>
    <row r="3" spans="1:11">
      <c r="A3" t="s">
        <v>91</v>
      </c>
      <c r="B3" s="25">
        <v>2021</v>
      </c>
      <c r="C3" t="s">
        <v>92</v>
      </c>
      <c r="D3" s="118" t="s">
        <v>93</v>
      </c>
    </row>
    <row r="4" spans="1:11">
      <c r="A4" t="s">
        <v>262</v>
      </c>
      <c r="B4" s="25">
        <v>2022</v>
      </c>
      <c r="C4" t="s">
        <v>264</v>
      </c>
      <c r="D4" t="s">
        <v>263</v>
      </c>
    </row>
    <row r="5" spans="1:11" ht="30" customHeight="1">
      <c r="A5" t="s">
        <v>12</v>
      </c>
      <c r="B5" s="25">
        <v>2020</v>
      </c>
      <c r="C5" t="s">
        <v>13</v>
      </c>
      <c r="D5" t="s">
        <v>11</v>
      </c>
    </row>
    <row r="6" spans="1:11" ht="30" customHeight="1">
      <c r="A6" t="s">
        <v>641</v>
      </c>
      <c r="B6" s="25">
        <v>2017</v>
      </c>
      <c r="C6" t="s">
        <v>647</v>
      </c>
      <c r="D6" t="s">
        <v>648</v>
      </c>
    </row>
    <row r="7" spans="1:11">
      <c r="A7" t="s">
        <v>638</v>
      </c>
      <c r="B7" s="25">
        <v>2017</v>
      </c>
      <c r="C7" t="s">
        <v>637</v>
      </c>
      <c r="D7" t="s">
        <v>639</v>
      </c>
    </row>
    <row r="8" spans="1:11">
      <c r="A8" t="s">
        <v>17</v>
      </c>
      <c r="B8" s="25">
        <v>2019</v>
      </c>
      <c r="C8" t="s">
        <v>19</v>
      </c>
      <c r="D8" t="s">
        <v>18</v>
      </c>
    </row>
    <row r="9" spans="1:11">
      <c r="A9" t="s">
        <v>1</v>
      </c>
      <c r="B9" s="115">
        <v>44621</v>
      </c>
      <c r="C9" t="s">
        <v>6</v>
      </c>
      <c r="D9" t="s">
        <v>2</v>
      </c>
    </row>
    <row r="10" spans="1:11">
      <c r="A10" t="s">
        <v>52</v>
      </c>
      <c r="B10" s="25">
        <v>2021</v>
      </c>
      <c r="C10" t="s">
        <v>7</v>
      </c>
      <c r="D10" t="s">
        <v>5</v>
      </c>
    </row>
    <row r="11" spans="1:11">
      <c r="A11" t="s">
        <v>205</v>
      </c>
      <c r="B11" s="25">
        <v>2021</v>
      </c>
      <c r="C11" t="s">
        <v>206</v>
      </c>
      <c r="D11" s="782" t="s">
        <v>204</v>
      </c>
    </row>
    <row r="12" spans="1:11">
      <c r="A12" t="s">
        <v>857</v>
      </c>
      <c r="B12" s="25">
        <v>2022</v>
      </c>
      <c r="C12" t="s">
        <v>859</v>
      </c>
      <c r="D12" s="782" t="s">
        <v>858</v>
      </c>
    </row>
    <row r="13" spans="1:11">
      <c r="A13" t="s">
        <v>35</v>
      </c>
      <c r="B13" s="25">
        <v>2020</v>
      </c>
      <c r="C13" t="s">
        <v>36</v>
      </c>
      <c r="D13" s="118" t="s">
        <v>154</v>
      </c>
    </row>
    <row r="14" spans="1:11">
      <c r="A14" t="s">
        <v>20</v>
      </c>
      <c r="B14" s="25">
        <v>2018</v>
      </c>
      <c r="C14" t="s">
        <v>22</v>
      </c>
      <c r="D14" t="s">
        <v>21</v>
      </c>
    </row>
    <row r="15" spans="1:11">
      <c r="A15" t="s">
        <v>337</v>
      </c>
      <c r="B15" s="25">
        <v>2022</v>
      </c>
      <c r="C15" t="s">
        <v>338</v>
      </c>
      <c r="D15" t="s">
        <v>339</v>
      </c>
    </row>
    <row r="16" spans="1:11">
      <c r="A16" t="s">
        <v>9</v>
      </c>
      <c r="B16" s="25" t="s">
        <v>340</v>
      </c>
      <c r="C16" t="s">
        <v>341</v>
      </c>
      <c r="D16" s="118" t="s">
        <v>10</v>
      </c>
    </row>
    <row r="17" spans="1:4">
      <c r="A17" t="s">
        <v>63</v>
      </c>
      <c r="B17" s="25">
        <v>2017</v>
      </c>
      <c r="C17" t="s">
        <v>64</v>
      </c>
      <c r="D17" t="s">
        <v>65</v>
      </c>
    </row>
    <row r="18" spans="1:4">
      <c r="A18" t="s">
        <v>217</v>
      </c>
      <c r="B18" s="25">
        <v>2017</v>
      </c>
      <c r="C18" t="s">
        <v>342</v>
      </c>
      <c r="D18" s="118" t="s">
        <v>343</v>
      </c>
    </row>
    <row r="19" spans="1:4">
      <c r="A19" t="s">
        <v>635</v>
      </c>
      <c r="B19" s="25">
        <v>2018</v>
      </c>
      <c r="C19" t="s">
        <v>634</v>
      </c>
      <c r="D19" t="s">
        <v>636</v>
      </c>
    </row>
    <row r="20" spans="1:4">
      <c r="A20" t="s">
        <v>422</v>
      </c>
      <c r="B20" s="25">
        <v>2021</v>
      </c>
      <c r="C20" t="s">
        <v>423</v>
      </c>
      <c r="D20" t="s">
        <v>424</v>
      </c>
    </row>
    <row r="21" spans="1:4">
      <c r="A21" t="s">
        <v>307</v>
      </c>
      <c r="B21" s="25">
        <v>2022</v>
      </c>
      <c r="C21" t="s">
        <v>344</v>
      </c>
      <c r="D21" t="s">
        <v>345</v>
      </c>
    </row>
    <row r="22" spans="1:4" ht="17">
      <c r="A22" t="s">
        <v>3</v>
      </c>
      <c r="B22" s="25">
        <v>2021</v>
      </c>
      <c r="C22" s="13" t="s">
        <v>51</v>
      </c>
      <c r="D22" t="s">
        <v>50</v>
      </c>
    </row>
    <row r="23" spans="1:4">
      <c r="A23" t="s">
        <v>211</v>
      </c>
      <c r="B23" s="25">
        <v>2021</v>
      </c>
      <c r="C23" t="s">
        <v>213</v>
      </c>
      <c r="D23" s="127" t="s">
        <v>199</v>
      </c>
    </row>
    <row r="24" spans="1:4">
      <c r="A24" t="s">
        <v>88</v>
      </c>
      <c r="B24" s="25">
        <v>2022</v>
      </c>
      <c r="C24" t="s">
        <v>90</v>
      </c>
      <c r="D24" s="118" t="s">
        <v>89</v>
      </c>
    </row>
    <row r="25" spans="1:4">
      <c r="A25" t="s">
        <v>611</v>
      </c>
      <c r="B25" s="25">
        <v>2022</v>
      </c>
      <c r="C25" t="s">
        <v>612</v>
      </c>
      <c r="D25" s="118" t="s">
        <v>610</v>
      </c>
    </row>
    <row r="26" spans="1:4">
      <c r="A26" t="s">
        <v>415</v>
      </c>
      <c r="B26" s="25">
        <v>2009</v>
      </c>
      <c r="C26" t="s">
        <v>416</v>
      </c>
      <c r="D26" s="118" t="s">
        <v>417</v>
      </c>
    </row>
    <row r="27" spans="1:4">
      <c r="A27" t="s">
        <v>630</v>
      </c>
      <c r="B27" s="25">
        <v>2021</v>
      </c>
      <c r="C27" t="s">
        <v>631</v>
      </c>
      <c r="D27" s="118" t="s">
        <v>632</v>
      </c>
    </row>
    <row r="28" spans="1:4">
      <c r="A28" t="s">
        <v>633</v>
      </c>
      <c r="B28" s="25">
        <v>2017</v>
      </c>
      <c r="C28" t="s">
        <v>67</v>
      </c>
      <c r="D28" t="s">
        <v>66</v>
      </c>
    </row>
    <row r="29" spans="1:4">
      <c r="A29" t="s">
        <v>776</v>
      </c>
      <c r="B29" s="25">
        <v>2022</v>
      </c>
      <c r="C29" t="s">
        <v>777</v>
      </c>
    </row>
    <row r="30" spans="1:4">
      <c r="A30" t="s">
        <v>365</v>
      </c>
      <c r="B30" s="25">
        <v>2022</v>
      </c>
      <c r="C30" t="s">
        <v>366</v>
      </c>
    </row>
    <row r="31" spans="1:4">
      <c r="A31" t="s">
        <v>816</v>
      </c>
      <c r="B31" s="25">
        <v>2022</v>
      </c>
      <c r="C31" t="s">
        <v>817</v>
      </c>
      <c r="D31" s="118" t="s">
        <v>818</v>
      </c>
    </row>
    <row r="32" spans="1:4">
      <c r="A32" t="s">
        <v>106</v>
      </c>
      <c r="B32" s="25">
        <v>2022</v>
      </c>
      <c r="C32" t="s">
        <v>108</v>
      </c>
      <c r="D32" t="s">
        <v>107</v>
      </c>
    </row>
    <row r="33" spans="1:4">
      <c r="A33" t="s">
        <v>214</v>
      </c>
      <c r="B33" s="25">
        <v>2019</v>
      </c>
      <c r="C33" t="s">
        <v>215</v>
      </c>
      <c r="D33" s="113" t="s">
        <v>209</v>
      </c>
    </row>
  </sheetData>
  <sheetProtection sheet="1" objects="1" scenarios="1"/>
  <sortState xmlns:xlrd2="http://schemas.microsoft.com/office/spreadsheetml/2017/richdata2" ref="A2:D23">
    <sortCondition ref="A2:A23"/>
  </sortState>
  <hyperlinks>
    <hyperlink ref="D22" r:id="rId1" xr:uid="{00000000-0004-0000-1100-000000000000}"/>
    <hyperlink ref="D10" r:id="rId2" xr:uid="{00000000-0004-0000-1100-000001000000}"/>
    <hyperlink ref="D24" r:id="rId3" xr:uid="{00000000-0004-0000-1100-000002000000}"/>
    <hyperlink ref="D23" r:id="rId4" xr:uid="{00000000-0004-0000-1100-000003000000}"/>
    <hyperlink ref="D33" r:id="rId5" xr:uid="{00000000-0004-0000-1100-000004000000}"/>
    <hyperlink ref="D13" r:id="rId6" xr:uid="{00000000-0004-0000-1100-000005000000}"/>
    <hyperlink ref="D16" r:id="rId7" xr:uid="{00000000-0004-0000-1100-000006000000}"/>
    <hyperlink ref="D26" r:id="rId8" display="https://www.radflek.com/_webedit/uploaded-files/All Files/Radflek_FinalReport.pdf" xr:uid="{00000000-0004-0000-1100-000007000000}"/>
    <hyperlink ref="D25" r:id="rId9" display="https://myboiler.com/opentherm/opentherm-boilers-and-controls/" xr:uid="{00000000-0004-0000-1100-000008000000}"/>
    <hyperlink ref="D31" r:id="rId10" xr:uid="{00000000-0004-0000-1100-000009000000}"/>
    <hyperlink ref="D18" r:id="rId11" xr:uid="{00000000-0004-0000-1100-00000A000000}"/>
    <hyperlink ref="D11" r:id="rId12" xr:uid="{00000000-0004-0000-1100-00000B000000}"/>
    <hyperlink ref="D3" r:id="rId13" xr:uid="{00000000-0004-0000-1100-00000C000000}"/>
    <hyperlink ref="D2" r:id="rId14" xr:uid="{00000000-0004-0000-1100-00000D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C12"/>
  <sheetViews>
    <sheetView workbookViewId="0">
      <selection activeCell="A3" sqref="A3"/>
    </sheetView>
  </sheetViews>
  <sheetFormatPr baseColWidth="10" defaultColWidth="10.5" defaultRowHeight="16"/>
  <cols>
    <col min="1" max="1" width="31" style="121" customWidth="1"/>
    <col min="2" max="2" width="44.5" style="121" customWidth="1"/>
    <col min="3" max="3" width="42.5" style="121" customWidth="1"/>
  </cols>
  <sheetData>
    <row r="1" spans="1:3" ht="17">
      <c r="A1" s="230" t="s">
        <v>477</v>
      </c>
      <c r="B1" s="137"/>
      <c r="C1" s="137"/>
    </row>
    <row r="2" spans="1:3" ht="51">
      <c r="A2" s="121" t="s">
        <v>601</v>
      </c>
    </row>
    <row r="4" spans="1:3" ht="17">
      <c r="A4" s="230" t="s">
        <v>277</v>
      </c>
      <c r="B4" s="137"/>
      <c r="C4" s="137"/>
    </row>
    <row r="6" spans="1:3" ht="51">
      <c r="A6" s="121" t="s">
        <v>272</v>
      </c>
    </row>
    <row r="7" spans="1:3" ht="17">
      <c r="A7" s="351"/>
      <c r="B7" s="352" t="s">
        <v>485</v>
      </c>
      <c r="C7" s="352" t="s">
        <v>486</v>
      </c>
    </row>
    <row r="8" spans="1:3" ht="51">
      <c r="A8" s="353" t="s">
        <v>184</v>
      </c>
      <c r="B8" s="353" t="s">
        <v>271</v>
      </c>
      <c r="C8" s="353" t="s">
        <v>185</v>
      </c>
    </row>
    <row r="9" spans="1:3" ht="68">
      <c r="A9" s="353" t="s">
        <v>183</v>
      </c>
      <c r="B9" s="353" t="s">
        <v>275</v>
      </c>
      <c r="C9" s="353" t="s">
        <v>488</v>
      </c>
    </row>
    <row r="10" spans="1:3" ht="51">
      <c r="A10" s="353" t="s">
        <v>186</v>
      </c>
      <c r="B10" s="353" t="s">
        <v>273</v>
      </c>
      <c r="C10" s="353" t="s">
        <v>487</v>
      </c>
    </row>
    <row r="11" spans="1:3" ht="34">
      <c r="A11" s="353" t="s">
        <v>187</v>
      </c>
      <c r="B11" s="353" t="s">
        <v>274</v>
      </c>
      <c r="C11" s="353" t="s">
        <v>190</v>
      </c>
    </row>
    <row r="12" spans="1:3" ht="51">
      <c r="A12" s="353" t="s">
        <v>188</v>
      </c>
      <c r="B12" s="353" t="s">
        <v>189</v>
      </c>
      <c r="C12" s="353" t="s">
        <v>276</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dimension ref="A1:AO35"/>
  <sheetViews>
    <sheetView workbookViewId="0">
      <pane xSplit="1" ySplit="2" topLeftCell="K3" activePane="bottomRight" state="frozen"/>
      <selection pane="topRight" activeCell="B1" sqref="B1"/>
      <selection pane="bottomLeft" activeCell="A3" sqref="A3"/>
      <selection pane="bottomRight" activeCell="K2" sqref="K2"/>
    </sheetView>
  </sheetViews>
  <sheetFormatPr baseColWidth="10" defaultColWidth="10.5" defaultRowHeight="16" outlineLevelCol="1"/>
  <cols>
    <col min="1" max="1" width="37.33203125" customWidth="1"/>
    <col min="2" max="2" width="11.5" hidden="1" customWidth="1" outlineLevel="1"/>
    <col min="3" max="10" width="10.5" hidden="1" customWidth="1" outlineLevel="1"/>
    <col min="11" max="11" width="25.33203125" customWidth="1" collapsed="1"/>
    <col min="12" max="19" width="10.5" hidden="1" customWidth="1" outlineLevel="1"/>
    <col min="20" max="20" width="1.1640625" hidden="1" customWidth="1" outlineLevel="1"/>
    <col min="21" max="21" width="10.5" collapsed="1"/>
    <col min="27" max="32" width="11" customWidth="1"/>
    <col min="33" max="33" width="20.5" customWidth="1"/>
    <col min="34" max="34" width="14" customWidth="1"/>
    <col min="35" max="35" width="16" customWidth="1"/>
    <col min="36" max="36" width="18" customWidth="1"/>
    <col min="38" max="38" width="16.83203125" bestFit="1" customWidth="1"/>
  </cols>
  <sheetData>
    <row r="1" spans="1:41">
      <c r="A1" s="16"/>
      <c r="B1" s="241"/>
      <c r="C1" s="238"/>
      <c r="D1" s="238"/>
      <c r="E1" s="238"/>
      <c r="F1" s="238"/>
      <c r="G1" s="238"/>
      <c r="H1" s="238"/>
      <c r="I1" s="238"/>
      <c r="J1" s="120"/>
      <c r="K1" s="119"/>
      <c r="L1" s="241"/>
      <c r="M1" s="238"/>
      <c r="N1" s="238"/>
      <c r="O1" s="238"/>
      <c r="P1" s="238"/>
      <c r="Q1" s="238"/>
      <c r="R1" s="238"/>
      <c r="S1" s="238"/>
      <c r="T1" s="120"/>
      <c r="U1" s="531"/>
      <c r="V1" s="532"/>
      <c r="W1" s="583"/>
      <c r="X1" s="586"/>
      <c r="Y1" s="533"/>
      <c r="Z1" s="587"/>
      <c r="AA1" s="241"/>
      <c r="AB1" s="238"/>
      <c r="AC1" s="120"/>
      <c r="AD1" s="238"/>
      <c r="AE1" s="238"/>
      <c r="AF1" s="120"/>
      <c r="AG1" s="120"/>
      <c r="AH1" s="593"/>
      <c r="AI1" s="593"/>
      <c r="AJ1" s="593"/>
    </row>
    <row r="2" spans="1:41" ht="47.25" customHeight="1">
      <c r="A2" s="500" t="s">
        <v>100</v>
      </c>
      <c r="B2" s="886" t="s">
        <v>682</v>
      </c>
      <c r="C2" s="887"/>
      <c r="D2" s="887"/>
      <c r="E2" s="887"/>
      <c r="F2" s="887"/>
      <c r="G2" s="887"/>
      <c r="H2" s="887"/>
      <c r="I2" s="887"/>
      <c r="J2" s="888"/>
      <c r="K2" s="752" t="s">
        <v>706</v>
      </c>
      <c r="L2" s="898" t="s">
        <v>705</v>
      </c>
      <c r="M2" s="899"/>
      <c r="N2" s="899"/>
      <c r="O2" s="899"/>
      <c r="P2" s="899"/>
      <c r="Q2" s="899"/>
      <c r="R2" s="899"/>
      <c r="S2" s="899"/>
      <c r="T2" s="900"/>
      <c r="U2" s="889" t="s">
        <v>683</v>
      </c>
      <c r="V2" s="890"/>
      <c r="W2" s="891"/>
      <c r="X2" s="886" t="s">
        <v>98</v>
      </c>
      <c r="Y2" s="887"/>
      <c r="Z2" s="888"/>
      <c r="AA2" s="892" t="s">
        <v>538</v>
      </c>
      <c r="AB2" s="893"/>
      <c r="AC2" s="894"/>
      <c r="AD2" s="898" t="s">
        <v>925</v>
      </c>
      <c r="AE2" s="899"/>
      <c r="AF2" s="900"/>
      <c r="AG2" s="845" t="s">
        <v>939</v>
      </c>
      <c r="AH2" s="594" t="s">
        <v>355</v>
      </c>
      <c r="AI2" s="594" t="s">
        <v>863</v>
      </c>
      <c r="AJ2" s="594" t="s">
        <v>707</v>
      </c>
    </row>
    <row r="3" spans="1:41">
      <c r="A3" s="500"/>
      <c r="B3" s="171" t="s">
        <v>308</v>
      </c>
      <c r="C3" s="172"/>
      <c r="D3" s="174"/>
      <c r="E3" s="171" t="s">
        <v>352</v>
      </c>
      <c r="F3" s="172"/>
      <c r="G3" s="174"/>
      <c r="H3" s="520" t="s">
        <v>353</v>
      </c>
      <c r="I3" s="521"/>
      <c r="J3" s="522"/>
      <c r="K3" s="753"/>
      <c r="L3" s="171" t="s">
        <v>308</v>
      </c>
      <c r="M3" s="172"/>
      <c r="N3" s="174"/>
      <c r="O3" s="171" t="s">
        <v>352</v>
      </c>
      <c r="P3" s="172"/>
      <c r="Q3" s="174"/>
      <c r="R3" s="520" t="s">
        <v>353</v>
      </c>
      <c r="S3" s="521"/>
      <c r="T3" s="522"/>
      <c r="U3" s="584"/>
      <c r="V3" s="580"/>
      <c r="W3" s="585"/>
      <c r="X3" s="588"/>
      <c r="Y3" s="581"/>
      <c r="Z3" s="589"/>
      <c r="AA3" s="156"/>
      <c r="AB3" s="224"/>
      <c r="AC3" s="46"/>
      <c r="AD3" s="156"/>
      <c r="AE3" s="224"/>
      <c r="AF3" s="46"/>
      <c r="AG3" s="46"/>
      <c r="AH3" s="541"/>
      <c r="AI3" s="541"/>
      <c r="AJ3" s="541"/>
    </row>
    <row r="4" spans="1:41">
      <c r="A4" s="12"/>
      <c r="B4" s="450" t="s">
        <v>41</v>
      </c>
      <c r="C4" s="224" t="s">
        <v>42</v>
      </c>
      <c r="D4" s="46" t="s">
        <v>43</v>
      </c>
      <c r="E4" s="450" t="s">
        <v>41</v>
      </c>
      <c r="F4" s="224" t="s">
        <v>42</v>
      </c>
      <c r="G4" s="46" t="s">
        <v>43</v>
      </c>
      <c r="H4" s="450" t="s">
        <v>41</v>
      </c>
      <c r="I4" s="224" t="s">
        <v>42</v>
      </c>
      <c r="J4" s="46" t="s">
        <v>43</v>
      </c>
      <c r="K4" s="754"/>
      <c r="L4" s="450" t="s">
        <v>41</v>
      </c>
      <c r="M4" s="224" t="s">
        <v>42</v>
      </c>
      <c r="N4" s="46" t="s">
        <v>43</v>
      </c>
      <c r="O4" s="450" t="s">
        <v>41</v>
      </c>
      <c r="P4" s="224" t="s">
        <v>42</v>
      </c>
      <c r="Q4" s="46" t="s">
        <v>43</v>
      </c>
      <c r="R4" s="450" t="s">
        <v>41</v>
      </c>
      <c r="S4" s="224" t="s">
        <v>42</v>
      </c>
      <c r="T4" s="46" t="s">
        <v>43</v>
      </c>
      <c r="U4" s="540" t="s">
        <v>41</v>
      </c>
      <c r="V4" s="166" t="s">
        <v>42</v>
      </c>
      <c r="W4" s="497" t="s">
        <v>43</v>
      </c>
      <c r="X4" s="498" t="s">
        <v>41</v>
      </c>
      <c r="Y4" s="167" t="s">
        <v>42</v>
      </c>
      <c r="Z4" s="499" t="s">
        <v>43</v>
      </c>
      <c r="AA4" s="538" t="s">
        <v>41</v>
      </c>
      <c r="AB4" s="224" t="s">
        <v>42</v>
      </c>
      <c r="AC4" s="46" t="s">
        <v>43</v>
      </c>
      <c r="AD4" s="538" t="s">
        <v>41</v>
      </c>
      <c r="AE4" s="224" t="s">
        <v>42</v>
      </c>
      <c r="AF4" s="46" t="s">
        <v>43</v>
      </c>
      <c r="AG4" s="46"/>
      <c r="AH4" s="534"/>
      <c r="AI4" s="534"/>
      <c r="AJ4" s="534"/>
    </row>
    <row r="5" spans="1:41" ht="34">
      <c r="A5" s="15" t="str">
        <f>'Reducing radiator temp'!A108</f>
        <v>Reducing radiator temperatures (set and forget)</v>
      </c>
      <c r="B5" s="563"/>
      <c r="C5" s="542"/>
      <c r="D5" s="564"/>
      <c r="E5" s="563"/>
      <c r="F5" s="542"/>
      <c r="G5" s="564"/>
      <c r="H5" s="563"/>
      <c r="I5" s="542"/>
      <c r="J5" s="564"/>
      <c r="K5" s="755"/>
      <c r="L5" s="563"/>
      <c r="M5" s="542"/>
      <c r="N5" s="564"/>
      <c r="O5" s="563"/>
      <c r="P5" s="542"/>
      <c r="Q5" s="564"/>
      <c r="R5" s="563"/>
      <c r="S5" s="542"/>
      <c r="T5" s="564"/>
      <c r="U5" s="565"/>
      <c r="V5" s="566"/>
      <c r="W5" s="567"/>
      <c r="X5" s="568"/>
      <c r="Y5" s="569"/>
      <c r="Z5" s="570"/>
      <c r="AA5" s="571"/>
      <c r="AB5" s="30"/>
      <c r="AC5" s="572"/>
      <c r="AD5" s="858"/>
      <c r="AE5" s="859"/>
      <c r="AF5" s="572"/>
      <c r="AG5" s="572"/>
      <c r="AH5" s="573"/>
      <c r="AI5" s="573"/>
      <c r="AJ5" s="573"/>
    </row>
    <row r="6" spans="1:41" ht="17">
      <c r="A6" s="16" t="str">
        <f>'Reducing radiator temp'!A109</f>
        <v>… to Flow 60°C (same indoor temp)</v>
      </c>
      <c r="B6" s="338">
        <f>ROUND('Reducing radiator temp'!B109,-1)</f>
        <v>290</v>
      </c>
      <c r="C6" s="339">
        <f>ROUND('Reducing radiator temp'!C109,-1)</f>
        <v>420</v>
      </c>
      <c r="D6" s="340">
        <f>ROUND('Reducing radiator temp'!D109,-1)</f>
        <v>540</v>
      </c>
      <c r="E6" s="338">
        <f>ROUND('Reducing radiator temp'!E109,-1)</f>
        <v>0</v>
      </c>
      <c r="F6" s="339">
        <f>ROUND('Reducing radiator temp'!F109,-1)</f>
        <v>0</v>
      </c>
      <c r="G6" s="340">
        <f>ROUND('Reducing radiator temp'!G109,-1)</f>
        <v>0</v>
      </c>
      <c r="H6" s="338">
        <f>ROUND('Reducing radiator temp'!H109,-1)</f>
        <v>0</v>
      </c>
      <c r="I6" s="339">
        <f>ROUND('Reducing radiator temp'!I109,-1)</f>
        <v>0</v>
      </c>
      <c r="J6" s="340">
        <f>ROUND('Reducing radiator temp'!J109,-1)</f>
        <v>0</v>
      </c>
      <c r="K6" s="756">
        <f t="shared" ref="K6:K14" si="0">C6/MeanDomesticGasBill</f>
        <v>3.5794345973680072E-2</v>
      </c>
      <c r="L6" s="529">
        <f>'Reducing radiator temp'!K109/1000</f>
        <v>9.2646385301913572</v>
      </c>
      <c r="M6" s="602">
        <f>'Reducing radiator temp'!L109/1000</f>
        <v>10.747815112016637</v>
      </c>
      <c r="N6" s="603">
        <f>'Reducing radiator temp'!M109/1000</f>
        <v>12.308131419519999</v>
      </c>
      <c r="O6" s="601">
        <f>'Reducing radiator temp'!N109/1000</f>
        <v>0</v>
      </c>
      <c r="P6" s="602">
        <f>'Reducing radiator temp'!O109/1000</f>
        <v>0</v>
      </c>
      <c r="Q6" s="603">
        <f>'Reducing radiator temp'!P109/1000</f>
        <v>0</v>
      </c>
      <c r="R6" s="601">
        <f>'Reducing radiator temp'!Q109/1000</f>
        <v>0</v>
      </c>
      <c r="S6" s="602">
        <f>'Reducing radiator temp'!R109/1000</f>
        <v>0</v>
      </c>
      <c r="T6" s="603">
        <f>'Reducing radiator temp'!S109/1000</f>
        <v>0</v>
      </c>
      <c r="U6" s="159">
        <f t="shared" ref="U6:W14" si="1">(L6+O6+R6)/numberDwellingsUK*1000000</f>
        <v>0.32907217774580977</v>
      </c>
      <c r="V6" s="135">
        <f t="shared" si="1"/>
        <v>0.38175336397582998</v>
      </c>
      <c r="W6" s="160">
        <f t="shared" si="1"/>
        <v>0.43717448845998469</v>
      </c>
      <c r="X6" s="157">
        <f t="shared" ref="X6:Z13" si="2">(B6*gasPriceP*L6+E6*oilPriceP*O6+H6*electricityPriceDualRateP*R6)/100/SUM(L6,O6,R6)</f>
        <v>29.87</v>
      </c>
      <c r="Y6" s="155">
        <f t="shared" si="2"/>
        <v>43.260000000000005</v>
      </c>
      <c r="Z6" s="158">
        <f t="shared" si="2"/>
        <v>55.62</v>
      </c>
      <c r="AA6" s="539">
        <f t="shared" ref="AA6:AC14" si="3">(B6*L6*carbonGasPerkWh+E6*O6*carbonOilPerkWh + H6*R6*carbonElectricityPerkWh)</f>
        <v>494.36111197101076</v>
      </c>
      <c r="AB6" s="483">
        <f t="shared" si="3"/>
        <v>830.59115185664575</v>
      </c>
      <c r="AC6" s="484">
        <f t="shared" si="3"/>
        <v>1222.935937843507</v>
      </c>
      <c r="AD6" s="861">
        <f t="shared" ref="AD6:AD14" si="4">U6*numberDwellingsUK*B6/1000000000</f>
        <v>2.6867451737554933</v>
      </c>
      <c r="AE6" s="861">
        <f t="shared" ref="AE6:AE14" si="5">V6*numberDwellingsUK*C6/1000000000</f>
        <v>4.5140823470469877</v>
      </c>
      <c r="AF6" s="861">
        <f t="shared" ref="AF6:AF14" si="6">W6*numberDwellingsUK*D6/1000000000</f>
        <v>6.6463909665407988</v>
      </c>
      <c r="AG6" s="157">
        <f t="shared" ref="AG6:AG14" si="7">ROUND(V6*numberDwellingsUK*Y6,-3)</f>
        <v>464950000</v>
      </c>
      <c r="AH6" s="535" t="str">
        <f>'Reducing radiator temp'!T109</f>
        <v>-</v>
      </c>
      <c r="AI6" s="535" t="s">
        <v>811</v>
      </c>
      <c r="AJ6" s="535" t="s">
        <v>708</v>
      </c>
      <c r="AL6" s="647"/>
      <c r="AM6" s="582"/>
      <c r="AN6" s="582"/>
      <c r="AO6" s="126"/>
    </row>
    <row r="7" spans="1:41" ht="17">
      <c r="A7" s="16" t="str">
        <f>'Reducing radiator temp'!A110</f>
        <v>… to Flow 55°C (same indoor temp)</v>
      </c>
      <c r="B7" s="338">
        <f>ROUND('Reducing radiator temp'!B110,-1)</f>
        <v>400</v>
      </c>
      <c r="C7" s="339">
        <f>ROUND('Reducing radiator temp'!C110,-1)</f>
        <v>530</v>
      </c>
      <c r="D7" s="340">
        <f>ROUND('Reducing radiator temp'!D110,-1)</f>
        <v>670</v>
      </c>
      <c r="E7" s="338">
        <f>ROUND('Reducing radiator temp'!E110,-1)</f>
        <v>0</v>
      </c>
      <c r="F7" s="339">
        <f>ROUND('Reducing radiator temp'!F110,-1)</f>
        <v>0</v>
      </c>
      <c r="G7" s="340">
        <f>ROUND('Reducing radiator temp'!G110,-1)</f>
        <v>0</v>
      </c>
      <c r="H7" s="338">
        <f>ROUND('Reducing radiator temp'!H110,-1)</f>
        <v>0</v>
      </c>
      <c r="I7" s="339">
        <f>ROUND('Reducing radiator temp'!I110,-1)</f>
        <v>0</v>
      </c>
      <c r="J7" s="340">
        <f>ROUND('Reducing radiator temp'!J110,-1)</f>
        <v>0</v>
      </c>
      <c r="K7" s="756">
        <f t="shared" si="0"/>
        <v>4.5169055633453428E-2</v>
      </c>
      <c r="L7" s="601">
        <f>'Reducing radiator temp'!K110/1000</f>
        <v>6.5275845206092775</v>
      </c>
      <c r="M7" s="602">
        <f>'Reducing radiator temp'!L110/1000</f>
        <v>7.6731815241233576</v>
      </c>
      <c r="N7" s="603">
        <f>'Reducing radiator temp'!M110/1000</f>
        <v>8.8967069218959995</v>
      </c>
      <c r="O7" s="601">
        <f>'Reducing radiator temp'!N110/1000</f>
        <v>0</v>
      </c>
      <c r="P7" s="602">
        <f>'Reducing radiator temp'!O110/1000</f>
        <v>0</v>
      </c>
      <c r="Q7" s="603">
        <f>'Reducing radiator temp'!P110/1000</f>
        <v>0</v>
      </c>
      <c r="R7" s="601">
        <f>'Reducing radiator temp'!Q110/1000</f>
        <v>0</v>
      </c>
      <c r="S7" s="602">
        <f>'Reducing radiator temp'!R110/1000</f>
        <v>0</v>
      </c>
      <c r="T7" s="603">
        <f>'Reducing radiator temp'!S110/1000</f>
        <v>0</v>
      </c>
      <c r="U7" s="159">
        <f t="shared" si="1"/>
        <v>0.23185431861337455</v>
      </c>
      <c r="V7" s="135">
        <f t="shared" si="1"/>
        <v>0.27254496180867532</v>
      </c>
      <c r="W7" s="160">
        <f t="shared" si="1"/>
        <v>0.3160035561035609</v>
      </c>
      <c r="X7" s="157">
        <f t="shared" si="2"/>
        <v>41.2</v>
      </c>
      <c r="Y7" s="155">
        <f t="shared" si="2"/>
        <v>54.59</v>
      </c>
      <c r="Z7" s="158">
        <f t="shared" si="2"/>
        <v>69.010000000000005</v>
      </c>
      <c r="AA7" s="539">
        <f t="shared" si="3"/>
        <v>480.43022071684283</v>
      </c>
      <c r="AB7" s="483">
        <f t="shared" si="3"/>
        <v>748.28866223250986</v>
      </c>
      <c r="AC7" s="484">
        <f t="shared" si="3"/>
        <v>1096.7860293313388</v>
      </c>
      <c r="AD7" s="861">
        <f t="shared" si="4"/>
        <v>2.6110338082437115</v>
      </c>
      <c r="AE7" s="861">
        <f t="shared" si="5"/>
        <v>4.0667862077853796</v>
      </c>
      <c r="AF7" s="861">
        <f t="shared" si="6"/>
        <v>5.9607936376703199</v>
      </c>
      <c r="AG7" s="157">
        <f t="shared" si="7"/>
        <v>418879000</v>
      </c>
      <c r="AH7" s="535" t="str">
        <f>'Reducing radiator temp'!T110</f>
        <v>-</v>
      </c>
      <c r="AI7" s="535" t="s">
        <v>811</v>
      </c>
      <c r="AJ7" s="535" t="s">
        <v>708</v>
      </c>
      <c r="AL7" s="647"/>
      <c r="AM7" s="582"/>
      <c r="AN7" s="582"/>
      <c r="AO7" s="126"/>
    </row>
    <row r="8" spans="1:41" ht="34">
      <c r="A8" s="16" t="str">
        <f>'Reducing radiator temp'!A111</f>
        <v>… to Flow 60°C (lower indoor temp)</v>
      </c>
      <c r="B8" s="338">
        <f>ROUND('Reducing radiator temp'!B111,-1)</f>
        <v>610</v>
      </c>
      <c r="C8" s="339">
        <f>ROUND('Reducing radiator temp'!C111,-1)</f>
        <v>940</v>
      </c>
      <c r="D8" s="340">
        <f>ROUND('Reducing radiator temp'!D111,-1)</f>
        <v>1030</v>
      </c>
      <c r="E8" s="338">
        <f>ROUND('Reducing radiator temp'!E111,-1)</f>
        <v>0</v>
      </c>
      <c r="F8" s="339">
        <f>ROUND('Reducing radiator temp'!F111,-1)</f>
        <v>0</v>
      </c>
      <c r="G8" s="340">
        <f>ROUND('Reducing radiator temp'!G111,-1)</f>
        <v>0</v>
      </c>
      <c r="H8" s="338">
        <f>ROUND('Reducing radiator temp'!H111,-1)</f>
        <v>0</v>
      </c>
      <c r="I8" s="339">
        <f>ROUND('Reducing radiator temp'!I111,-1)</f>
        <v>0</v>
      </c>
      <c r="J8" s="340">
        <f>ROUND('Reducing radiator temp'!J111,-1)</f>
        <v>0</v>
      </c>
      <c r="K8" s="756">
        <f t="shared" si="0"/>
        <v>8.0111155274426832E-2</v>
      </c>
      <c r="L8" s="601">
        <f>'Reducing radiator temp'!K111/1000</f>
        <v>9.2646385301913572</v>
      </c>
      <c r="M8" s="602">
        <f>'Reducing radiator temp'!L111/1000</f>
        <v>10.747815112016637</v>
      </c>
      <c r="N8" s="603">
        <f>'Reducing radiator temp'!M111/1000</f>
        <v>12.308131419519999</v>
      </c>
      <c r="O8" s="601">
        <f>'Reducing radiator temp'!N111/1000</f>
        <v>0</v>
      </c>
      <c r="P8" s="602">
        <f>'Reducing radiator temp'!O111/1000</f>
        <v>0</v>
      </c>
      <c r="Q8" s="603">
        <f>'Reducing radiator temp'!P111/1000</f>
        <v>0</v>
      </c>
      <c r="R8" s="601">
        <f>'Reducing radiator temp'!Q111/1000</f>
        <v>0</v>
      </c>
      <c r="S8" s="602">
        <f>'Reducing radiator temp'!R111/1000</f>
        <v>0</v>
      </c>
      <c r="T8" s="603">
        <f>'Reducing radiator temp'!S111/1000</f>
        <v>0</v>
      </c>
      <c r="U8" s="159">
        <f t="shared" ref="U8:U9" si="8">(L8+O8+R8)/numberDwellingsUK*1000000</f>
        <v>0.32907217774580977</v>
      </c>
      <c r="V8" s="135">
        <f t="shared" ref="V8:V9" si="9">(M8+P8+S8)/numberDwellingsUK*1000000</f>
        <v>0.38175336397582998</v>
      </c>
      <c r="W8" s="160">
        <f t="shared" ref="W8:W9" si="10">(N8+Q8+T8)/numberDwellingsUK*1000000</f>
        <v>0.43717448845998469</v>
      </c>
      <c r="X8" s="157">
        <f t="shared" ref="X8:X9" si="11">(B8*gasPriceP*L8+E8*oilPriceP*O8+H8*electricityPriceDualRateP*R8)/100/SUM(L8,O8,R8)</f>
        <v>62.83</v>
      </c>
      <c r="Y8" s="155">
        <f t="shared" ref="Y8:Y9" si="12">(C8*gasPriceP*M8+F8*oilPriceP*P8+I8*electricityPriceDualRateP*S8)/100/SUM(M8,P8,S8)</f>
        <v>96.820000000000007</v>
      </c>
      <c r="Z8" s="158">
        <f t="shared" ref="Z8:Z9" si="13">(D8*gasPriceP*N8+G8*oilPriceP*Q8+J8*electricityPriceDualRateP*T8)/100/SUM(N8,Q8,T8)</f>
        <v>106.09</v>
      </c>
      <c r="AA8" s="539">
        <f t="shared" ref="AA8:AA9" si="14">(B8*L8*carbonGasPerkWh+E8*O8*carbonOilPerkWh + H8*R8*carbonElectricityPerkWh)</f>
        <v>1039.863028628678</v>
      </c>
      <c r="AB8" s="483">
        <f t="shared" ref="AB8:AB9" si="15">(C8*M8*carbonGasPerkWh+F8*P8*carbonOilPerkWh + I8*S8*carbonElectricityPerkWh)</f>
        <v>1858.9421017743975</v>
      </c>
      <c r="AC8" s="484">
        <f t="shared" ref="AC8:AC9" si="16">(D8*N8*carbonGasPerkWh+G8*Q8*carbonOilPerkWh + J8*T8*carbonElectricityPerkWh)</f>
        <v>2332.6370666274302</v>
      </c>
      <c r="AD8" s="861">
        <f t="shared" si="4"/>
        <v>5.6514295034167272</v>
      </c>
      <c r="AE8" s="861">
        <f t="shared" si="5"/>
        <v>10.102946205295639</v>
      </c>
      <c r="AF8" s="861">
        <f t="shared" si="6"/>
        <v>12.677375362105598</v>
      </c>
      <c r="AG8" s="157">
        <f t="shared" si="7"/>
        <v>1040603000</v>
      </c>
      <c r="AH8" s="535" t="str">
        <f>'Reducing radiator temp'!T111</f>
        <v>comfort reduction</v>
      </c>
      <c r="AI8" s="535" t="s">
        <v>812</v>
      </c>
      <c r="AJ8" s="535" t="s">
        <v>708</v>
      </c>
      <c r="AL8" s="647"/>
      <c r="AM8" s="582"/>
      <c r="AN8" s="582"/>
      <c r="AO8" s="126"/>
    </row>
    <row r="9" spans="1:41" ht="34">
      <c r="A9" s="16" t="str">
        <f>'Reducing radiator temp'!A112</f>
        <v>… to Flow 55°C (lower indoor temp)</v>
      </c>
      <c r="B9" s="338">
        <f>ROUND('Reducing radiator temp'!B112,-1)</f>
        <v>860</v>
      </c>
      <c r="C9" s="339">
        <f>ROUND('Reducing radiator temp'!C112,-1)</f>
        <v>1330</v>
      </c>
      <c r="D9" s="340">
        <f>ROUND('Reducing radiator temp'!D112,-1)</f>
        <v>1460</v>
      </c>
      <c r="E9" s="338">
        <f>ROUND('Reducing radiator temp'!E112,-1)</f>
        <v>0</v>
      </c>
      <c r="F9" s="339">
        <f>ROUND('Reducing radiator temp'!F112,-1)</f>
        <v>0</v>
      </c>
      <c r="G9" s="340">
        <f>ROUND('Reducing radiator temp'!G112,-1)</f>
        <v>0</v>
      </c>
      <c r="H9" s="338">
        <f>ROUND('Reducing radiator temp'!H112,-1)</f>
        <v>0</v>
      </c>
      <c r="I9" s="339">
        <f>ROUND('Reducing radiator temp'!I112,-1)</f>
        <v>0</v>
      </c>
      <c r="J9" s="340">
        <f>ROUND('Reducing radiator temp'!J112,-1)</f>
        <v>0</v>
      </c>
      <c r="K9" s="756">
        <f t="shared" si="0"/>
        <v>0.1133487622499869</v>
      </c>
      <c r="L9" s="601">
        <f>'Reducing radiator temp'!K112/1000</f>
        <v>6.5275845206092775</v>
      </c>
      <c r="M9" s="602">
        <f>'Reducing radiator temp'!L112/1000</f>
        <v>7.6731815241233576</v>
      </c>
      <c r="N9" s="603">
        <f>'Reducing radiator temp'!M112/1000</f>
        <v>8.8967069218959995</v>
      </c>
      <c r="O9" s="601">
        <f>'Reducing radiator temp'!N112/1000</f>
        <v>0</v>
      </c>
      <c r="P9" s="602">
        <f>'Reducing radiator temp'!O112/1000</f>
        <v>0</v>
      </c>
      <c r="Q9" s="603">
        <f>'Reducing radiator temp'!P112/1000</f>
        <v>0</v>
      </c>
      <c r="R9" s="601">
        <f>'Reducing radiator temp'!Q112/1000</f>
        <v>0</v>
      </c>
      <c r="S9" s="602">
        <f>'Reducing radiator temp'!R112/1000</f>
        <v>0</v>
      </c>
      <c r="T9" s="603">
        <f>'Reducing radiator temp'!S112/1000</f>
        <v>0</v>
      </c>
      <c r="U9" s="159">
        <f t="shared" si="8"/>
        <v>0.23185431861337455</v>
      </c>
      <c r="V9" s="135">
        <f t="shared" si="9"/>
        <v>0.27254496180867532</v>
      </c>
      <c r="W9" s="160">
        <f t="shared" si="10"/>
        <v>0.3160035561035609</v>
      </c>
      <c r="X9" s="157">
        <f t="shared" si="11"/>
        <v>88.58</v>
      </c>
      <c r="Y9" s="155">
        <f t="shared" si="12"/>
        <v>136.99</v>
      </c>
      <c r="Z9" s="158">
        <f t="shared" si="13"/>
        <v>150.38</v>
      </c>
      <c r="AA9" s="539">
        <f t="shared" si="14"/>
        <v>1032.9249745412121</v>
      </c>
      <c r="AB9" s="483">
        <f t="shared" si="15"/>
        <v>1877.7809825834681</v>
      </c>
      <c r="AC9" s="484">
        <f t="shared" si="16"/>
        <v>2390.0113474981413</v>
      </c>
      <c r="AD9" s="861">
        <f t="shared" si="4"/>
        <v>5.6137226877239792</v>
      </c>
      <c r="AE9" s="861">
        <f t="shared" si="5"/>
        <v>10.205331427084067</v>
      </c>
      <c r="AF9" s="861">
        <f t="shared" si="6"/>
        <v>12.989192105968158</v>
      </c>
      <c r="AG9" s="157">
        <f t="shared" si="7"/>
        <v>1051149000</v>
      </c>
      <c r="AH9" s="535" t="str">
        <f>'Reducing radiator temp'!T112</f>
        <v>comfort reduction</v>
      </c>
      <c r="AI9" s="535" t="s">
        <v>812</v>
      </c>
      <c r="AJ9" s="535" t="s">
        <v>708</v>
      </c>
      <c r="AL9" s="877"/>
      <c r="AM9" s="582"/>
      <c r="AN9" s="582"/>
      <c r="AO9" s="126"/>
    </row>
    <row r="10" spans="1:41" ht="34">
      <c r="A10" s="17" t="str">
        <f>'Reduce heating hours'!A65</f>
        <v>Reducing hours of heating by 5 hours/week (set and forget)</v>
      </c>
      <c r="B10" s="191">
        <f>ROUND('Reduce heating hours'!B65,-1)</f>
        <v>110</v>
      </c>
      <c r="C10" s="192">
        <f>ROUND('Reduce heating hours'!C65,-1)</f>
        <v>150</v>
      </c>
      <c r="D10" s="643">
        <f>ROUND('Reduce heating hours'!D65,-1)</f>
        <v>190</v>
      </c>
      <c r="E10" s="191">
        <f>ROUND('Reduce heating hours'!E65,-1)</f>
        <v>260</v>
      </c>
      <c r="F10" s="192">
        <f>ROUND('Reduce heating hours'!F65,-1)</f>
        <v>330</v>
      </c>
      <c r="G10" s="643">
        <f>ROUND('Reduce heating hours'!G65,-1)</f>
        <v>430</v>
      </c>
      <c r="H10" s="191">
        <f>ROUND('Reduce heating hours'!H65,-1)</f>
        <v>20</v>
      </c>
      <c r="I10" s="192">
        <f>ROUND('Reduce heating hours'!I65,-1)</f>
        <v>50</v>
      </c>
      <c r="J10" s="643">
        <f>ROUND('Reduce heating hours'!J65,-1)</f>
        <v>70</v>
      </c>
      <c r="K10" s="756">
        <f t="shared" si="0"/>
        <v>1.2783694990600026E-2</v>
      </c>
      <c r="L10" s="601">
        <f>'Reduce heating hours'!K65/1000</f>
        <v>2.3525241579999996</v>
      </c>
      <c r="M10" s="602">
        <f>'Reduce heating hours'!L65/1000</f>
        <v>4.7050483159999992</v>
      </c>
      <c r="N10" s="603">
        <f>'Reduce heating hours'!M65/1000</f>
        <v>7.0575724739999997</v>
      </c>
      <c r="O10" s="601">
        <f>'Reduce heating hours'!N65/1000</f>
        <v>0.15102019000000003</v>
      </c>
      <c r="P10" s="602">
        <f>'Reduce heating hours'!O65/1000</f>
        <v>0.30204038000000005</v>
      </c>
      <c r="Q10" s="603">
        <f>'Reduce heating hours'!P65/1000</f>
        <v>0.45306056999999994</v>
      </c>
      <c r="R10" s="601">
        <f>'Reduce heating hours'!Q65/1000</f>
        <v>8.2684151513513521E-2</v>
      </c>
      <c r="S10" s="602">
        <f>'Reduce heating hours'!R65/1000</f>
        <v>0.16536830302702704</v>
      </c>
      <c r="T10" s="603">
        <f>'Reduce heating hours'!S65/1000</f>
        <v>0.24805245454054059</v>
      </c>
      <c r="U10" s="159">
        <f t="shared" si="1"/>
        <v>9.1860663717185695E-2</v>
      </c>
      <c r="V10" s="135">
        <f t="shared" si="1"/>
        <v>0.18372132743437139</v>
      </c>
      <c r="W10" s="160">
        <f t="shared" si="1"/>
        <v>0.27558199115155713</v>
      </c>
      <c r="X10" s="157">
        <f t="shared" si="2"/>
        <v>11.990469848138606</v>
      </c>
      <c r="Y10" s="155">
        <f t="shared" si="2"/>
        <v>16.459205100241736</v>
      </c>
      <c r="Z10" s="158">
        <f>(D10*gasPriceP*N10+G10*oilPriceP*Q10+J10*electricityPriceP*T10)/100/SUM(N10,Q10,T10)</f>
        <v>20.988497092030837</v>
      </c>
      <c r="AA10" s="539">
        <f t="shared" si="3"/>
        <v>58.537520803792425</v>
      </c>
      <c r="AB10" s="483">
        <f t="shared" si="3"/>
        <v>158.37520391896214</v>
      </c>
      <c r="AC10" s="484">
        <f t="shared" si="3"/>
        <v>302.70161820070058</v>
      </c>
      <c r="AD10" s="861">
        <f t="shared" si="4"/>
        <v>0.28448513494648647</v>
      </c>
      <c r="AE10" s="861">
        <f t="shared" si="5"/>
        <v>0.77586854985405396</v>
      </c>
      <c r="AF10" s="861">
        <f t="shared" si="6"/>
        <v>1.4741502447227028</v>
      </c>
      <c r="AG10" s="157">
        <f t="shared" si="7"/>
        <v>85135000</v>
      </c>
      <c r="AH10" s="535" t="str">
        <f>'Reduce heating hours'!K59</f>
        <v>-</v>
      </c>
      <c r="AI10" s="535" t="s">
        <v>811</v>
      </c>
      <c r="AJ10" s="535" t="s">
        <v>708</v>
      </c>
      <c r="AL10" s="647"/>
      <c r="AM10" s="582"/>
      <c r="AN10" s="582"/>
      <c r="AO10" s="126"/>
    </row>
    <row r="11" spans="1:41" ht="17">
      <c r="A11" s="427" t="str">
        <f>'Turn off pre-heat'!A40</f>
        <v>Turn off pre-heat facility</v>
      </c>
      <c r="B11" s="338">
        <f>'Turn off pre-heat'!B40</f>
        <v>2.5735294117647101</v>
      </c>
      <c r="C11" s="339">
        <f>'Turn off pre-heat'!C40</f>
        <v>92.647058823529392</v>
      </c>
      <c r="D11" s="340">
        <f>'Turn off pre-heat'!D40</f>
        <v>466.66666666666669</v>
      </c>
      <c r="E11" s="338">
        <f>'Turn off pre-heat'!E40</f>
        <v>0</v>
      </c>
      <c r="F11" s="339">
        <f>'Turn off pre-heat'!F40</f>
        <v>0</v>
      </c>
      <c r="G11" s="340">
        <f>'Turn off pre-heat'!G40</f>
        <v>0</v>
      </c>
      <c r="H11" s="338">
        <f>'Turn off pre-heat'!H40</f>
        <v>0</v>
      </c>
      <c r="I11" s="339">
        <f>'Turn off pre-heat'!I40</f>
        <v>0</v>
      </c>
      <c r="J11" s="340">
        <f>'Turn off pre-heat'!J40</f>
        <v>0</v>
      </c>
      <c r="K11" s="756">
        <f t="shared" si="0"/>
        <v>7.8958116118411914E-3</v>
      </c>
      <c r="L11" s="601">
        <f>'Turn off pre-heat'!K40/1000</f>
        <v>3.0394612121359996</v>
      </c>
      <c r="M11" s="602">
        <f>'Turn off pre-heat'!L40/1000</f>
        <v>6.398865709759999</v>
      </c>
      <c r="N11" s="603">
        <f>'Turn off pre-heat'!M40/1000</f>
        <v>10.078213492872001</v>
      </c>
      <c r="O11" s="601">
        <f>'Turn off pre-heat'!N40/1000</f>
        <v>0</v>
      </c>
      <c r="P11" s="602">
        <f>'Turn off pre-heat'!O40/1000</f>
        <v>0</v>
      </c>
      <c r="Q11" s="603">
        <f>'Turn off pre-heat'!P40/1000</f>
        <v>0</v>
      </c>
      <c r="R11" s="601">
        <f>'Turn off pre-heat'!Q40/1000</f>
        <v>0</v>
      </c>
      <c r="S11" s="602">
        <f>'Turn off pre-heat'!R40/1000</f>
        <v>0</v>
      </c>
      <c r="T11" s="603">
        <f>'Turn off pre-heat'!S40/1000</f>
        <v>0</v>
      </c>
      <c r="U11" s="159">
        <f t="shared" si="1"/>
        <v>0.10795910892714056</v>
      </c>
      <c r="V11" s="135">
        <f t="shared" si="1"/>
        <v>0.22728233458345382</v>
      </c>
      <c r="W11" s="160">
        <f t="shared" si="1"/>
        <v>0.35796967696893983</v>
      </c>
      <c r="X11" s="157">
        <f t="shared" si="2"/>
        <v>0.26507352941176515</v>
      </c>
      <c r="Y11" s="155">
        <f t="shared" si="2"/>
        <v>9.5426470588235279</v>
      </c>
      <c r="Z11" s="158">
        <f t="shared" si="2"/>
        <v>48.06666666666667</v>
      </c>
      <c r="AA11" s="539">
        <f t="shared" si="3"/>
        <v>1.439274279864402</v>
      </c>
      <c r="AB11" s="483">
        <f t="shared" si="3"/>
        <v>109.08184015814396</v>
      </c>
      <c r="AC11" s="484">
        <f t="shared" si="3"/>
        <v>865.38259858794243</v>
      </c>
      <c r="AD11" s="861">
        <f t="shared" si="4"/>
        <v>7.8221428253500112E-3</v>
      </c>
      <c r="AE11" s="861">
        <f t="shared" si="5"/>
        <v>0.59283608781599972</v>
      </c>
      <c r="AF11" s="861">
        <f t="shared" si="6"/>
        <v>4.7031662966735999</v>
      </c>
      <c r="AG11" s="157">
        <f t="shared" si="7"/>
        <v>61062000</v>
      </c>
      <c r="AH11" s="535" t="str">
        <f>'Turn off pre-heat'!T40</f>
        <v>-</v>
      </c>
      <c r="AI11" s="535" t="s">
        <v>811</v>
      </c>
      <c r="AJ11" s="535" t="s">
        <v>709</v>
      </c>
      <c r="AL11" s="647"/>
      <c r="AM11" s="582"/>
      <c r="AN11" s="582"/>
      <c r="AO11" s="126"/>
    </row>
    <row r="12" spans="1:41" ht="17">
      <c r="A12" s="427" t="str">
        <f>'Turn off pre-heat'!A41</f>
        <v>Adjust timer for pre-heat</v>
      </c>
      <c r="B12" s="338">
        <f>'Turn off pre-heat'!B41</f>
        <v>1.801470588235297</v>
      </c>
      <c r="C12" s="339">
        <f>'Turn off pre-heat'!C41</f>
        <v>46.323529411764696</v>
      </c>
      <c r="D12" s="340">
        <f>'Turn off pre-heat'!D41</f>
        <v>140</v>
      </c>
      <c r="E12" s="338">
        <f>'Turn off pre-heat'!E41</f>
        <v>0</v>
      </c>
      <c r="F12" s="339">
        <f>'Turn off pre-heat'!F41</f>
        <v>0</v>
      </c>
      <c r="G12" s="340">
        <f>'Turn off pre-heat'!G41</f>
        <v>0</v>
      </c>
      <c r="H12" s="338">
        <f>'Turn off pre-heat'!H41</f>
        <v>0</v>
      </c>
      <c r="I12" s="339">
        <f>'Turn off pre-heat'!I41</f>
        <v>0</v>
      </c>
      <c r="J12" s="340">
        <f>'Turn off pre-heat'!J41</f>
        <v>0</v>
      </c>
      <c r="K12" s="756">
        <f t="shared" si="0"/>
        <v>3.9479058059205957E-3</v>
      </c>
      <c r="L12" s="601">
        <f>'Turn off pre-heat'!K41/1000</f>
        <v>0.15197306060679999</v>
      </c>
      <c r="M12" s="602">
        <f>'Turn off pre-heat'!L41/1000</f>
        <v>0.63988657097599988</v>
      </c>
      <c r="N12" s="603">
        <f>'Turn off pre-heat'!M41/1000</f>
        <v>2.0156426985743998</v>
      </c>
      <c r="O12" s="601">
        <f>'Turn off pre-heat'!N41/1000</f>
        <v>0</v>
      </c>
      <c r="P12" s="602">
        <f>'Turn off pre-heat'!O41/1000</f>
        <v>0</v>
      </c>
      <c r="Q12" s="603">
        <f>'Turn off pre-heat'!P41/1000</f>
        <v>0</v>
      </c>
      <c r="R12" s="601">
        <f>'Turn off pre-heat'!Q41/1000</f>
        <v>0</v>
      </c>
      <c r="S12" s="602">
        <f>'Turn off pre-heat'!R41/1000</f>
        <v>0</v>
      </c>
      <c r="T12" s="603">
        <f>'Turn off pre-heat'!S41/1000</f>
        <v>0</v>
      </c>
      <c r="U12" s="159">
        <f t="shared" si="1"/>
        <v>5.397955446357028E-3</v>
      </c>
      <c r="V12" s="135">
        <f t="shared" si="1"/>
        <v>2.2728233458345383E-2</v>
      </c>
      <c r="W12" s="160">
        <f t="shared" si="1"/>
        <v>7.1593935393787958E-2</v>
      </c>
      <c r="X12" s="157">
        <f t="shared" si="2"/>
        <v>0.1855514705882356</v>
      </c>
      <c r="Y12" s="155">
        <f t="shared" si="2"/>
        <v>4.771323529411764</v>
      </c>
      <c r="Z12" s="158">
        <f t="shared" si="2"/>
        <v>14.42</v>
      </c>
      <c r="AA12" s="539">
        <f t="shared" si="3"/>
        <v>5.0374599795254077E-2</v>
      </c>
      <c r="AB12" s="483">
        <f t="shared" si="3"/>
        <v>5.4540920079071977</v>
      </c>
      <c r="AC12" s="484">
        <f t="shared" si="3"/>
        <v>51.922955915276539</v>
      </c>
      <c r="AD12" s="861">
        <f t="shared" si="4"/>
        <v>2.7377499888725043E-4</v>
      </c>
      <c r="AE12" s="861">
        <f t="shared" si="5"/>
        <v>2.964180439079999E-2</v>
      </c>
      <c r="AF12" s="861">
        <f t="shared" si="6"/>
        <v>0.28218997780041599</v>
      </c>
      <c r="AG12" s="157">
        <f t="shared" si="7"/>
        <v>3053000</v>
      </c>
      <c r="AH12" s="535" t="str">
        <f>'Turn off pre-heat'!T41</f>
        <v>-</v>
      </c>
      <c r="AI12" s="535" t="s">
        <v>811</v>
      </c>
      <c r="AJ12" s="535" t="s">
        <v>709</v>
      </c>
      <c r="AL12" s="647"/>
      <c r="AM12" s="582"/>
      <c r="AN12" s="582"/>
      <c r="AO12" s="126" t="str">
        <f>'Turn off pre-heat'!T40</f>
        <v>-</v>
      </c>
    </row>
    <row r="13" spans="1:41" ht="17">
      <c r="A13" s="17" t="str">
        <f>'Reducing DHW temp. (cylinder)'!A49</f>
        <v>Reducing the cylinder temperature to 60°C</v>
      </c>
      <c r="B13" s="338">
        <f>ROUND('Reducing DHW temp. (cylinder)'!B49,-1)</f>
        <v>80</v>
      </c>
      <c r="C13" s="339">
        <f>ROUND('Reducing DHW temp. (cylinder)'!C49,-1)</f>
        <v>230</v>
      </c>
      <c r="D13" s="340">
        <f>ROUND('Reducing DHW temp. (cylinder)'!D49,-1)</f>
        <v>390</v>
      </c>
      <c r="E13" s="338">
        <f>ROUND('Reducing DHW temp. (cylinder)'!E49,-1)</f>
        <v>230</v>
      </c>
      <c r="F13" s="339">
        <f>ROUND('Reducing DHW temp. (cylinder)'!F49,-1)</f>
        <v>430</v>
      </c>
      <c r="G13" s="340">
        <f>ROUND('Reducing DHW temp. (cylinder)'!G49,-1)</f>
        <v>590</v>
      </c>
      <c r="H13" s="338">
        <f>ROUND('Reducing DHW temp. (cylinder)'!H49,-1)</f>
        <v>0</v>
      </c>
      <c r="I13" s="339">
        <f>ROUND('Reducing DHW temp. (cylinder)'!I49,-1)</f>
        <v>0</v>
      </c>
      <c r="J13" s="340">
        <f>ROUND('Reducing DHW temp. (cylinder)'!J49,-1)</f>
        <v>0</v>
      </c>
      <c r="K13" s="756">
        <f t="shared" si="0"/>
        <v>1.9601665652253374E-2</v>
      </c>
      <c r="L13" s="601">
        <f>'Reducing DHW temp. (cylinder)'!K49/1000</f>
        <v>3.5758367201599999</v>
      </c>
      <c r="M13" s="602">
        <f>'Reducing DHW temp. (cylinder)'!L49/1000</f>
        <v>6.0224618444799995</v>
      </c>
      <c r="N13" s="603">
        <f>'Reducing DHW temp. (cylinder)'!M49/1000</f>
        <v>7.866840784352001</v>
      </c>
      <c r="O13" s="601">
        <f>'Reducing DHW temp. (cylinder)'!N49/1000</f>
        <v>0.55952980394999996</v>
      </c>
      <c r="P13" s="602">
        <f>'Reducing DHW temp. (cylinder)'!O49/1000</f>
        <v>0.94236598560000007</v>
      </c>
      <c r="Q13" s="603">
        <f>'Reducing DHW temp. (cylinder)'!P49/1000</f>
        <v>1.2309655686899998</v>
      </c>
      <c r="R13" s="601">
        <f>'Reducing DHW temp. (cylinder)'!Q49/1000</f>
        <v>0</v>
      </c>
      <c r="S13" s="602">
        <f>'Reducing DHW temp. (cylinder)'!R49/1000</f>
        <v>0</v>
      </c>
      <c r="T13" s="603">
        <f>'Reducing DHW temp. (cylinder)'!S49/1000</f>
        <v>0</v>
      </c>
      <c r="U13" s="159">
        <f t="shared" si="1"/>
        <v>0.14688474498290979</v>
      </c>
      <c r="V13" s="135">
        <f t="shared" si="1"/>
        <v>0.24738483365542699</v>
      </c>
      <c r="W13" s="160">
        <f t="shared" si="1"/>
        <v>0.32314643896240158</v>
      </c>
      <c r="X13" s="157">
        <f t="shared" si="2"/>
        <v>10.131844414073811</v>
      </c>
      <c r="Y13" s="155">
        <f t="shared" si="2"/>
        <v>26.105965949849082</v>
      </c>
      <c r="Z13" s="158">
        <f t="shared" si="2"/>
        <v>42.447812519904005</v>
      </c>
      <c r="AA13" s="539">
        <f t="shared" si="3"/>
        <v>87.383117346050199</v>
      </c>
      <c r="AB13" s="483">
        <f t="shared" si="3"/>
        <v>364.2792761865536</v>
      </c>
      <c r="AC13" s="484">
        <f t="shared" si="3"/>
        <v>760.61730977741661</v>
      </c>
      <c r="AD13" s="861">
        <f t="shared" si="4"/>
        <v>0.33082932192880005</v>
      </c>
      <c r="AE13" s="861">
        <f t="shared" si="5"/>
        <v>1.6019104009184</v>
      </c>
      <c r="AF13" s="861">
        <f t="shared" si="6"/>
        <v>3.5481444776863809</v>
      </c>
      <c r="AG13" s="157">
        <f t="shared" si="7"/>
        <v>181824000</v>
      </c>
      <c r="AH13" s="878" t="str">
        <f>'Reducing DHW temp. (cylinder)'!T49</f>
        <v>-</v>
      </c>
      <c r="AI13" s="530" t="s">
        <v>811</v>
      </c>
      <c r="AJ13" s="535" t="s">
        <v>709</v>
      </c>
      <c r="AL13" s="647"/>
      <c r="AM13" s="582"/>
      <c r="AN13" s="582"/>
      <c r="AO13" s="126"/>
    </row>
    <row r="14" spans="1:41" ht="34">
      <c r="A14" s="17" t="str">
        <f>'Reducing DHW temp. (combi)'!A40</f>
        <v>Reduce DHW temperature to 45°C (low savings), 42°C, or 40°C (high savings)</v>
      </c>
      <c r="B14" s="246">
        <f>ROUND('Reducing DHW temp. (combi)'!B40,-1)</f>
        <v>100</v>
      </c>
      <c r="C14" s="263">
        <f>ROUND('Reducing DHW temp. (combi)'!C40,-1)</f>
        <v>250</v>
      </c>
      <c r="D14" s="264">
        <f>ROUND('Reducing DHW temp. (combi)'!D40,-1)</f>
        <v>460</v>
      </c>
      <c r="E14" s="246">
        <f>ROUND('Reducing DHW temp. (combi)'!E40,-1)</f>
        <v>110</v>
      </c>
      <c r="F14" s="263">
        <f>ROUND('Reducing DHW temp. (combi)'!F40,-1)</f>
        <v>250</v>
      </c>
      <c r="G14" s="264">
        <f>ROUND('Reducing DHW temp. (combi)'!G40,-1)</f>
        <v>450</v>
      </c>
      <c r="H14" s="246">
        <f>ROUND('Reducing DHW temp. (combi)'!H40,-1)</f>
        <v>0</v>
      </c>
      <c r="I14" s="263">
        <f>ROUND('Reducing DHW temp. (combi)'!I40,-1)</f>
        <v>0</v>
      </c>
      <c r="J14" s="264">
        <f>ROUND('Reducing DHW temp. (combi)'!J40,-1)</f>
        <v>0</v>
      </c>
      <c r="K14" s="756">
        <f t="shared" si="0"/>
        <v>2.1306158317666711E-2</v>
      </c>
      <c r="L14" s="601">
        <f>'Reducing DHW temp. (combi)'!K40/1000</f>
        <v>15.197306060679997</v>
      </c>
      <c r="M14" s="602">
        <f>'Reducing DHW temp. (combi)'!L40/1000</f>
        <v>15.997164274399998</v>
      </c>
      <c r="N14" s="603">
        <f>'Reducing DHW temp. (combi)'!M40/1000</f>
        <v>16.797022488119996</v>
      </c>
      <c r="O14" s="601">
        <f>'Reducing DHW temp. (combi)'!N40/1000</f>
        <v>0.3156321970999999</v>
      </c>
      <c r="P14" s="602">
        <f>'Reducing DHW temp. (combi)'!O40/1000</f>
        <v>0.33224441799999993</v>
      </c>
      <c r="Q14" s="603">
        <f>'Reducing DHW temp. (combi)'!P40/1000</f>
        <v>0.3488566388999999</v>
      </c>
      <c r="R14" s="601">
        <f>'Reducing DHW temp. (combi)'!Q40/1000</f>
        <v>0</v>
      </c>
      <c r="S14" s="602">
        <f>'Reducing DHW temp. (combi)'!R40/1000</f>
        <v>0</v>
      </c>
      <c r="T14" s="602">
        <f>'Reducing DHW temp. (combi)'!S40/1000</f>
        <v>0</v>
      </c>
      <c r="U14" s="135">
        <f t="shared" si="1"/>
        <v>0.5510065351269039</v>
      </c>
      <c r="V14" s="135">
        <f t="shared" si="1"/>
        <v>0.58000687908095161</v>
      </c>
      <c r="W14" s="135">
        <f t="shared" si="1"/>
        <v>0.6090072230349991</v>
      </c>
      <c r="X14" s="157">
        <f t="shared" ref="X14" si="17">(B14*gasPriceP*L14+E14*oilPriceP*O14+H14*electricityPriceDualRateP*R14)/100/SUM(L14,O14,R14)</f>
        <v>10.306674007083718</v>
      </c>
      <c r="Y14" s="155">
        <f t="shared" ref="Y14" si="18">(C14*gasPriceP*M14+F14*oilPriceP*P14+I14*electricityPriceDualRateP*S14)/100/SUM(M14,P14,S14)</f>
        <v>25.71753916289547</v>
      </c>
      <c r="Z14" s="155">
        <f t="shared" ref="Z14" si="19">(D14*gasPriceP*N14+G14*oilPriceP*Q14+J14*electricityPriceDualRateP*T14)/100/SUM(N14,Q14,T14)</f>
        <v>47.300613717802143</v>
      </c>
      <c r="AA14" s="539">
        <f t="shared" si="3"/>
        <v>289.00470777038197</v>
      </c>
      <c r="AB14" s="483">
        <f t="shared" si="3"/>
        <v>758.29605483739999</v>
      </c>
      <c r="AC14" s="483">
        <f t="shared" si="3"/>
        <v>1464.0860650208265</v>
      </c>
      <c r="AD14" s="861">
        <f t="shared" si="4"/>
        <v>1.5512938257779993</v>
      </c>
      <c r="AE14" s="861">
        <f t="shared" si="5"/>
        <v>4.0823521730999994</v>
      </c>
      <c r="AF14" s="861">
        <f t="shared" si="6"/>
        <v>7.8871043984291971</v>
      </c>
      <c r="AG14" s="157">
        <f t="shared" si="7"/>
        <v>419952000</v>
      </c>
      <c r="AH14" s="860" t="str">
        <f>'Reducing DHW temp. (combi)'!T40</f>
        <v>-</v>
      </c>
      <c r="AI14" s="475" t="s">
        <v>812</v>
      </c>
      <c r="AJ14" s="535" t="s">
        <v>709</v>
      </c>
      <c r="AL14" s="647"/>
      <c r="AM14" s="582"/>
      <c r="AN14" s="582"/>
      <c r="AO14" s="126"/>
    </row>
    <row r="15" spans="1:41" ht="34" customHeight="1">
      <c r="A15" s="134" t="s">
        <v>172</v>
      </c>
      <c r="B15" s="895" t="s">
        <v>484</v>
      </c>
      <c r="C15" s="896"/>
      <c r="D15" s="896"/>
      <c r="E15" s="896"/>
      <c r="F15" s="896"/>
      <c r="G15" s="896"/>
      <c r="H15" s="896"/>
      <c r="I15" s="896"/>
      <c r="J15" s="897"/>
      <c r="K15" s="757"/>
      <c r="L15" s="575"/>
      <c r="M15" s="576"/>
      <c r="N15" s="648"/>
      <c r="O15" s="577"/>
      <c r="P15" s="574"/>
      <c r="Q15" s="578"/>
      <c r="R15" s="577"/>
      <c r="S15" s="574"/>
      <c r="T15" s="574"/>
      <c r="U15" s="901" t="s">
        <v>484</v>
      </c>
      <c r="V15" s="901"/>
      <c r="W15" s="901"/>
      <c r="X15" s="901"/>
      <c r="Y15" s="901"/>
      <c r="Z15" s="901"/>
      <c r="AA15" s="901"/>
      <c r="AB15" s="901"/>
      <c r="AC15" s="901"/>
      <c r="AD15" s="901"/>
      <c r="AE15" s="901"/>
      <c r="AF15" s="901"/>
      <c r="AG15" s="901"/>
      <c r="AH15" s="901"/>
      <c r="AI15" s="760" t="s">
        <v>811</v>
      </c>
      <c r="AJ15" s="760" t="s">
        <v>301</v>
      </c>
      <c r="AL15" s="647"/>
      <c r="AM15" s="582"/>
      <c r="AN15" s="582"/>
      <c r="AO15" s="126"/>
    </row>
    <row r="16" spans="1:41" ht="17">
      <c r="A16" s="111" t="s">
        <v>81</v>
      </c>
      <c r="B16" s="477">
        <f>ROUND('Closing curtains'!B37,-1)</f>
        <v>30</v>
      </c>
      <c r="C16" s="478">
        <f>ROUND('Closing curtains'!C37,-1)</f>
        <v>90</v>
      </c>
      <c r="D16" s="479">
        <f>ROUND('Closing curtains'!D37,-1)</f>
        <v>180</v>
      </c>
      <c r="E16" s="477">
        <f>ROUND('Closing curtains'!E37,-1)</f>
        <v>50</v>
      </c>
      <c r="F16" s="478">
        <f>ROUND('Closing curtains'!F37,-1)</f>
        <v>160</v>
      </c>
      <c r="G16" s="479">
        <f>ROUND('Closing curtains'!G37,-1)</f>
        <v>300</v>
      </c>
      <c r="H16" s="477">
        <f>ROUND('Closing curtains'!H37,-1)</f>
        <v>20</v>
      </c>
      <c r="I16" s="478">
        <f>ROUND('Closing curtains'!I37,-1)</f>
        <v>60</v>
      </c>
      <c r="J16" s="479">
        <f>ROUND('Closing curtains'!J37,-1)</f>
        <v>100</v>
      </c>
      <c r="K16" s="756">
        <f>C16/MeanDomesticGasBill</f>
        <v>7.6702169943600159E-3</v>
      </c>
      <c r="L16" s="447">
        <f>'Closing curtains'!K37/1000</f>
        <v>9.4100966319999984</v>
      </c>
      <c r="M16" s="448">
        <f>'Closing curtains'!L37/1000</f>
        <v>11.76262079</v>
      </c>
      <c r="N16" s="449">
        <f>'Closing curtains'!M37/1000</f>
        <v>14.115144947999999</v>
      </c>
      <c r="O16" s="447">
        <f>'Closing curtains'!N37/1000</f>
        <v>0.60408076000000011</v>
      </c>
      <c r="P16" s="448">
        <f>'Closing curtains'!O37/1000</f>
        <v>0.75510094999999988</v>
      </c>
      <c r="Q16" s="449">
        <f>'Closing curtains'!P37/1000</f>
        <v>0.90612113999999988</v>
      </c>
      <c r="R16" s="447">
        <f>'Closing curtains'!Q37/1000</f>
        <v>0.85783565600000011</v>
      </c>
      <c r="S16" s="448">
        <f>'Closing curtains'!R37/1000</f>
        <v>1.0722945699999999</v>
      </c>
      <c r="T16" s="449">
        <f>'Closing curtains'!S37/1000</f>
        <v>1.2867534839999999</v>
      </c>
      <c r="U16" s="159">
        <f t="shared" ref="U16:W18" si="20">(L16+O16+R16)/numberDwellingsUK*1000000</f>
        <v>0.3861647703283167</v>
      </c>
      <c r="V16" s="135">
        <f t="shared" si="20"/>
        <v>0.48270596291039586</v>
      </c>
      <c r="W16" s="160">
        <f t="shared" si="20"/>
        <v>0.57924715549247507</v>
      </c>
      <c r="X16" s="157">
        <f t="shared" ref="X16:Z18" si="21">(B16*gasPriceP*L16+E16*oilPriceP*O16+H16*electricityPriceDualRateP*R16)/100/SUM(L16,O16,R16)</f>
        <v>3.4794610186474824</v>
      </c>
      <c r="Y16" s="155">
        <f t="shared" si="21"/>
        <v>10.492067033843847</v>
      </c>
      <c r="Z16" s="158">
        <f t="shared" si="21"/>
        <v>20.340224954783075</v>
      </c>
      <c r="AA16" s="539">
        <f t="shared" ref="AA16:AC18" si="22">(B16*L16*carbonGasPerkWh+E16*O16*carbonOilPerkWh + H16*R16*carbonElectricityPerkWh)</f>
        <v>63.427226013919991</v>
      </c>
      <c r="AB16" s="483">
        <f t="shared" si="22"/>
        <v>239.8908701172</v>
      </c>
      <c r="AC16" s="484">
        <f t="shared" si="22"/>
        <v>565.85243060735991</v>
      </c>
      <c r="AD16" s="861">
        <f t="shared" ref="AD16:AF18" si="23">U16*numberDwellingsUK*B16/1000000000</f>
        <v>0.32616039143999992</v>
      </c>
      <c r="AE16" s="861">
        <f t="shared" si="23"/>
        <v>1.2231014678999999</v>
      </c>
      <c r="AF16" s="861">
        <f t="shared" si="23"/>
        <v>2.9354435229599996</v>
      </c>
      <c r="AG16" s="157">
        <f>ROUND(V16*numberDwellingsUK*Y16,-3)</f>
        <v>142587000</v>
      </c>
      <c r="AH16" s="535" t="str">
        <f>'Closing curtains'!T37</f>
        <v>-</v>
      </c>
      <c r="AI16" s="535" t="s">
        <v>811</v>
      </c>
      <c r="AJ16" s="535" t="s">
        <v>709</v>
      </c>
      <c r="AL16" s="647"/>
      <c r="AM16" s="582"/>
      <c r="AN16" s="582"/>
      <c r="AO16" s="126"/>
    </row>
    <row r="17" spans="1:40" ht="17">
      <c r="A17" s="111" t="str">
        <f>'Window treatments'!A43</f>
        <v>Add window film to all windows</v>
      </c>
      <c r="B17" s="338">
        <f>ROUND('Window treatments'!B43,-1)</f>
        <v>250</v>
      </c>
      <c r="C17" s="339">
        <f>ROUND('Window treatments'!C43,-1)</f>
        <v>380</v>
      </c>
      <c r="D17" s="340">
        <f>ROUND('Window treatments'!D43,-1)</f>
        <v>500</v>
      </c>
      <c r="E17" s="338">
        <f>ROUND('Window treatments'!E43,-1)</f>
        <v>440</v>
      </c>
      <c r="F17" s="339">
        <f>ROUND('Window treatments'!F43,-1)</f>
        <v>650</v>
      </c>
      <c r="G17" s="340">
        <f>ROUND('Window treatments'!G43,-1)</f>
        <v>860</v>
      </c>
      <c r="H17" s="338">
        <f>ROUND('Window treatments'!H43,-1)</f>
        <v>160</v>
      </c>
      <c r="I17" s="339">
        <f>ROUND('Window treatments'!I43,-1)</f>
        <v>220</v>
      </c>
      <c r="J17" s="340">
        <f>ROUND('Window treatments'!J43,-1)</f>
        <v>300</v>
      </c>
      <c r="K17" s="756">
        <f>C17/MeanDomesticGasBill</f>
        <v>3.2385360642853397E-2</v>
      </c>
      <c r="L17" s="447">
        <f>'Window treatments'!K43/1000</f>
        <v>18.820193263999997</v>
      </c>
      <c r="M17" s="448">
        <f>'Window treatments'!L43/1000</f>
        <v>21.172717421999998</v>
      </c>
      <c r="N17" s="449">
        <f>'Window treatments'!M43/1000</f>
        <v>23.525241579999999</v>
      </c>
      <c r="O17" s="447">
        <f>'Window treatments'!N43/1000</f>
        <v>1.2081615200000002</v>
      </c>
      <c r="P17" s="448">
        <f>'Window treatments'!O43/1000</f>
        <v>1.3591817100000001</v>
      </c>
      <c r="Q17" s="449">
        <f>'Window treatments'!P43/1000</f>
        <v>1.5102018999999998</v>
      </c>
      <c r="R17" s="447">
        <f>'Window treatments'!Q43/1000</f>
        <v>1.7156713120000002</v>
      </c>
      <c r="S17" s="448">
        <f>'Window treatments'!R43/1000</f>
        <v>1.9301302260000002</v>
      </c>
      <c r="T17" s="449">
        <f>'Window treatments'!S43/1000</f>
        <v>2.1445891399999999</v>
      </c>
      <c r="U17" s="159">
        <f t="shared" si="20"/>
        <v>0.7723295406566334</v>
      </c>
      <c r="V17" s="135">
        <f t="shared" si="20"/>
        <v>0.86887073323871256</v>
      </c>
      <c r="W17" s="160">
        <f t="shared" si="20"/>
        <v>0.96541192582079172</v>
      </c>
      <c r="X17" s="157">
        <f t="shared" si="21"/>
        <v>28.941924051465008</v>
      </c>
      <c r="Y17" s="155">
        <f t="shared" si="21"/>
        <v>43.268410937534085</v>
      </c>
      <c r="Z17" s="158">
        <f t="shared" si="21"/>
        <v>57.239938990025415</v>
      </c>
      <c r="AA17" s="539">
        <f t="shared" si="22"/>
        <v>1062.51291624448</v>
      </c>
      <c r="AB17" s="483">
        <f t="shared" si="22"/>
        <v>1801.3107502969199</v>
      </c>
      <c r="AC17" s="484">
        <f t="shared" si="22"/>
        <v>2639.8061944879996</v>
      </c>
      <c r="AD17" s="861">
        <f t="shared" si="23"/>
        <v>5.4360065239999988</v>
      </c>
      <c r="AE17" s="861">
        <f t="shared" si="23"/>
        <v>9.2955711560399994</v>
      </c>
      <c r="AF17" s="861">
        <f t="shared" si="23"/>
        <v>13.590016309999998</v>
      </c>
      <c r="AG17" s="157">
        <f>ROUND(V17*numberDwellingsUK*Y17,-3)</f>
        <v>1058433000</v>
      </c>
      <c r="AH17" s="405" t="str">
        <f>'Window treatments'!T43</f>
        <v>low</v>
      </c>
      <c r="AI17" s="405" t="s">
        <v>811</v>
      </c>
      <c r="AJ17" s="535" t="s">
        <v>709</v>
      </c>
      <c r="AL17" s="647"/>
      <c r="AM17" s="582"/>
      <c r="AN17" s="582"/>
    </row>
    <row r="18" spans="1:40" ht="17">
      <c r="A18" s="111" t="str">
        <f>'Window treatments'!A44</f>
        <v>Add window film to all single glazed windows</v>
      </c>
      <c r="B18" s="338">
        <f>ROUND('Window treatments'!B44,-1)</f>
        <v>40</v>
      </c>
      <c r="C18" s="339">
        <f>ROUND('Window treatments'!C44,-1)</f>
        <v>60</v>
      </c>
      <c r="D18" s="340">
        <f>ROUND('Window treatments'!D44,-1)</f>
        <v>80</v>
      </c>
      <c r="E18" s="338">
        <f>ROUND('Window treatments'!E44,-1)</f>
        <v>140</v>
      </c>
      <c r="F18" s="339">
        <f>ROUND('Window treatments'!F44,-1)</f>
        <v>210</v>
      </c>
      <c r="G18" s="340">
        <f>ROUND('Window treatments'!G44,-1)</f>
        <v>280</v>
      </c>
      <c r="H18" s="338">
        <f>ROUND('Window treatments'!H44,-1)</f>
        <v>30</v>
      </c>
      <c r="I18" s="339">
        <f>ROUND('Window treatments'!I44,-1)</f>
        <v>50</v>
      </c>
      <c r="J18" s="340">
        <f>ROUND('Window treatments'!J44,-1)</f>
        <v>70</v>
      </c>
      <c r="K18" s="756">
        <f>C18/MeanDomesticGasBill</f>
        <v>5.1134779962400106E-3</v>
      </c>
      <c r="L18" s="447">
        <f>'Window treatments'!K44/1000</f>
        <v>18.820193263999997</v>
      </c>
      <c r="M18" s="448">
        <f>'Window treatments'!L44/1000</f>
        <v>21.172717421999998</v>
      </c>
      <c r="N18" s="449">
        <f>'Window treatments'!M44/1000</f>
        <v>23.525241579999999</v>
      </c>
      <c r="O18" s="447">
        <f>'Window treatments'!N44/1000</f>
        <v>1.2081615200000002</v>
      </c>
      <c r="P18" s="448">
        <f>'Window treatments'!O44/1000</f>
        <v>1.3591817100000001</v>
      </c>
      <c r="Q18" s="449">
        <f>'Window treatments'!P44/1000</f>
        <v>1.5102018999999998</v>
      </c>
      <c r="R18" s="447">
        <f>'Window treatments'!Q44/1000</f>
        <v>1.7156713120000002</v>
      </c>
      <c r="S18" s="448">
        <f>'Window treatments'!R44/1000</f>
        <v>1.9301302260000002</v>
      </c>
      <c r="T18" s="449">
        <f>'Window treatments'!S44/1000</f>
        <v>2.1445891399999999</v>
      </c>
      <c r="U18" s="159">
        <f t="shared" si="20"/>
        <v>0.7723295406566334</v>
      </c>
      <c r="V18" s="135">
        <f t="shared" si="20"/>
        <v>0.86887073323871256</v>
      </c>
      <c r="W18" s="160">
        <f t="shared" si="20"/>
        <v>0.96541192582079172</v>
      </c>
      <c r="X18" s="157">
        <f t="shared" si="21"/>
        <v>5.1223873889905436</v>
      </c>
      <c r="Y18" s="155">
        <f t="shared" si="21"/>
        <v>7.8177163727612724</v>
      </c>
      <c r="Z18" s="158">
        <f t="shared" si="21"/>
        <v>10.513045356531997</v>
      </c>
      <c r="AA18" s="539">
        <f t="shared" si="22"/>
        <v>194.17033491487999</v>
      </c>
      <c r="AB18" s="483">
        <f t="shared" si="22"/>
        <v>329.53466648808001</v>
      </c>
      <c r="AC18" s="484">
        <f t="shared" si="22"/>
        <v>489.58634021879999</v>
      </c>
      <c r="AD18" s="861">
        <f t="shared" si="23"/>
        <v>0.86976104383999986</v>
      </c>
      <c r="AE18" s="861">
        <f t="shared" si="23"/>
        <v>1.4677217614799998</v>
      </c>
      <c r="AF18" s="861">
        <f t="shared" si="23"/>
        <v>2.1744026096</v>
      </c>
      <c r="AG18" s="157">
        <f>ROUND(V18*numberDwellingsUK*Y18,-3)</f>
        <v>191237000</v>
      </c>
      <c r="AH18" s="405" t="str">
        <f>'Window treatments'!T44</f>
        <v>low</v>
      </c>
      <c r="AI18" s="405" t="s">
        <v>811</v>
      </c>
      <c r="AJ18" s="535" t="s">
        <v>709</v>
      </c>
      <c r="AL18" s="647"/>
      <c r="AM18" s="582"/>
      <c r="AN18" s="582"/>
    </row>
    <row r="19" spans="1:40">
      <c r="A19" s="136" t="s">
        <v>376</v>
      </c>
      <c r="B19" s="527"/>
      <c r="C19" s="25"/>
      <c r="D19" s="26"/>
      <c r="E19" s="527"/>
      <c r="F19" s="25"/>
      <c r="G19" s="26"/>
      <c r="H19" s="527"/>
      <c r="I19" s="25"/>
      <c r="J19" s="26"/>
      <c r="K19" s="758"/>
      <c r="L19" s="527"/>
      <c r="M19" s="25"/>
      <c r="N19" s="26"/>
      <c r="O19" s="527"/>
      <c r="P19" s="25"/>
      <c r="Q19" s="26"/>
      <c r="R19" s="527"/>
      <c r="S19" s="25"/>
      <c r="T19" s="26"/>
      <c r="U19" s="528"/>
      <c r="W19" s="51"/>
      <c r="X19" s="528"/>
      <c r="Z19" s="51"/>
      <c r="AA19" s="528"/>
      <c r="AC19" s="51"/>
      <c r="AD19" s="528"/>
      <c r="AF19" s="51"/>
      <c r="AG19" s="879"/>
      <c r="AH19" s="596"/>
      <c r="AI19" s="596"/>
      <c r="AJ19" s="579"/>
      <c r="AL19" s="45"/>
    </row>
    <row r="20" spans="1:40" ht="17">
      <c r="A20" s="12" t="s">
        <v>807</v>
      </c>
      <c r="B20" s="338">
        <f>ROUND('Loft insulation'!B51,-1)</f>
        <v>4520</v>
      </c>
      <c r="C20" s="339">
        <f>ROUND('Loft insulation'!C51,-1)</f>
        <v>5180</v>
      </c>
      <c r="D20" s="340">
        <f>ROUND('Loft insulation'!D51,-1)</f>
        <v>5760</v>
      </c>
      <c r="E20" s="338">
        <f>ROUND('Loft insulation'!E51,-1)</f>
        <v>7300</v>
      </c>
      <c r="F20" s="339">
        <f>ROUND('Loft insulation'!F51,-1)</f>
        <v>8370</v>
      </c>
      <c r="G20" s="340">
        <f>ROUND('Loft insulation'!G51,-1)</f>
        <v>9300</v>
      </c>
      <c r="H20" s="338">
        <f>ROUND('Loft insulation'!H51,-1)</f>
        <v>3560</v>
      </c>
      <c r="I20" s="339">
        <f>ROUND('Loft insulation'!I51,-1)</f>
        <v>4030</v>
      </c>
      <c r="J20" s="340">
        <f>ROUND('Loft insulation'!J51,-1)</f>
        <v>4550</v>
      </c>
      <c r="K20" s="763">
        <f>'Loft insulation'!N12</f>
        <v>0.28000000000000003</v>
      </c>
      <c r="L20" s="447">
        <f>'Loft insulation'!K51/1000</f>
        <v>0.23527482938370226</v>
      </c>
      <c r="M20" s="448">
        <f>'Loft insulation'!L51/1000</f>
        <v>0.24834565323835239</v>
      </c>
      <c r="N20" s="449">
        <f>'Loft insulation'!M51/1000</f>
        <v>0.25880231232207251</v>
      </c>
      <c r="O20" s="447">
        <f>'Loft insulation'!N51/1000</f>
        <v>4.2393918610252344E-2</v>
      </c>
      <c r="P20" s="448">
        <f>'Loft insulation'!O51/1000</f>
        <v>4.4749136310821919E-2</v>
      </c>
      <c r="Q20" s="449">
        <f>'Loft insulation'!P51/1000</f>
        <v>4.6633310471277577E-2</v>
      </c>
      <c r="R20" s="447">
        <f>'Loft insulation'!Q51/1000</f>
        <v>2.0514787009103117E-2</v>
      </c>
      <c r="S20" s="448">
        <f>'Loft insulation'!R51/1000</f>
        <v>2.1654497398497733E-2</v>
      </c>
      <c r="T20" s="449">
        <f>'Loft insulation'!S51/1000</f>
        <v>2.2566265710013429E-2</v>
      </c>
      <c r="U20" s="159">
        <f t="shared" ref="U20:W24" si="24">(L20+O20+R20)/numberDwellingsUK*1000000</f>
        <v>1.0591228671430249E-2</v>
      </c>
      <c r="V20" s="135">
        <f t="shared" si="24"/>
        <v>1.1179630264287487E-2</v>
      </c>
      <c r="W20" s="160">
        <f t="shared" si="24"/>
        <v>1.1650351538573274E-2</v>
      </c>
      <c r="X20" s="157">
        <f t="shared" ref="X20:Z24" si="25">(B20*gasPriceP*L20+E20*oilPriceP*O20+H20*electricityPriceDualRateP*R20)/100/SUM(L20,O20,R20)</f>
        <v>550.89115662367135</v>
      </c>
      <c r="Y20" s="155">
        <f t="shared" si="25"/>
        <v>630.22148854078193</v>
      </c>
      <c r="Z20" s="158">
        <f t="shared" si="25"/>
        <v>702.2966997999107</v>
      </c>
      <c r="AA20" s="539">
        <f t="shared" ref="AA20:AC24" si="26">(B20*L20*carbonGasPerkWh+E20*O20*carbonOilPerkWh + H20*R20*carbonElectricityPerkWh)</f>
        <v>293.40011618261184</v>
      </c>
      <c r="AB20" s="483">
        <f t="shared" si="26"/>
        <v>354.76170131945838</v>
      </c>
      <c r="AC20" s="484">
        <f t="shared" si="26"/>
        <v>411.30452802703218</v>
      </c>
      <c r="AD20" s="861">
        <f t="shared" ref="AD20:AF24" si="27">U20*numberDwellingsUK*B20/1000000000</f>
        <v>1.3477895782138209</v>
      </c>
      <c r="AE20" s="861">
        <f t="shared" si="27"/>
        <v>1.6304013063889413</v>
      </c>
      <c r="AF20" s="861">
        <f t="shared" si="27"/>
        <v>1.8892908777793735</v>
      </c>
      <c r="AG20" s="157">
        <f>ROUND(V20*numberDwellingsUK*Y20,-3)</f>
        <v>198362000</v>
      </c>
      <c r="AH20" s="405" t="str">
        <f>'Loft insulation'!T51</f>
        <v>high</v>
      </c>
      <c r="AI20" s="405" t="s">
        <v>811</v>
      </c>
      <c r="AJ20" s="535" t="s">
        <v>709</v>
      </c>
      <c r="AL20" s="647"/>
      <c r="AM20" s="582"/>
      <c r="AN20" s="582"/>
    </row>
    <row r="21" spans="1:40" ht="17">
      <c r="A21" s="12" t="s">
        <v>808</v>
      </c>
      <c r="B21" s="338">
        <f>ROUND('Loft insulation'!B52,-1)</f>
        <v>1220</v>
      </c>
      <c r="C21" s="339">
        <f>ROUND('Loft insulation'!C52,-1)</f>
        <v>1510</v>
      </c>
      <c r="D21" s="340">
        <f>ROUND('Loft insulation'!D52,-1)</f>
        <v>1700</v>
      </c>
      <c r="E21" s="338">
        <f>ROUND('Loft insulation'!E52,-1)</f>
        <v>1980</v>
      </c>
      <c r="F21" s="339">
        <f>ROUND('Loft insulation'!F52,-1)</f>
        <v>2430</v>
      </c>
      <c r="G21" s="340">
        <f>ROUND('Loft insulation'!G52,-1)</f>
        <v>2750</v>
      </c>
      <c r="H21" s="338">
        <f>ROUND('Loft insulation'!H52,-1)</f>
        <v>1090</v>
      </c>
      <c r="I21" s="339">
        <f>ROUND('Loft insulation'!I52,-1)</f>
        <v>1200</v>
      </c>
      <c r="J21" s="340">
        <f>ROUND('Loft insulation'!J52,-1)</f>
        <v>1300</v>
      </c>
      <c r="K21" s="763">
        <f>'Loft insulation'!N13</f>
        <v>0.11</v>
      </c>
      <c r="L21" s="447">
        <f>'Loft insulation'!K52/1000</f>
        <v>0.79026861867991682</v>
      </c>
      <c r="M21" s="448">
        <f>'Loft insulation'!L52/1000</f>
        <v>0.83417243082880099</v>
      </c>
      <c r="N21" s="449">
        <f>'Loft insulation'!M52/1000</f>
        <v>0.86929548054790851</v>
      </c>
      <c r="O21" s="447">
        <f>'Loft insulation'!N52/1000</f>
        <v>6.9262762470381711E-2</v>
      </c>
      <c r="P21" s="448">
        <f>'Loft insulation'!O52/1000</f>
        <v>7.3110693718736228E-2</v>
      </c>
      <c r="Q21" s="449">
        <f>'Loft insulation'!P52/1000</f>
        <v>7.6189038717419874E-2</v>
      </c>
      <c r="R21" s="447">
        <f>'Loft insulation'!Q52/1000</f>
        <v>8.0623093411392274E-2</v>
      </c>
      <c r="S21" s="448">
        <f>'Loft insulation'!R52/1000</f>
        <v>8.5102154156469628E-2</v>
      </c>
      <c r="T21" s="449">
        <f>'Loft insulation'!S52/1000</f>
        <v>8.8685402752531506E-2</v>
      </c>
      <c r="U21" s="159">
        <f t="shared" si="24"/>
        <v>3.3393497150837358E-2</v>
      </c>
      <c r="V21" s="135">
        <f t="shared" si="24"/>
        <v>3.5248691436994987E-2</v>
      </c>
      <c r="W21" s="160">
        <f t="shared" si="24"/>
        <v>3.6732846865921098E-2</v>
      </c>
      <c r="X21" s="157">
        <f t="shared" si="25"/>
        <v>151.50099744088774</v>
      </c>
      <c r="Y21" s="155">
        <f t="shared" si="25"/>
        <v>183.01927724549532</v>
      </c>
      <c r="Z21" s="158">
        <f t="shared" si="25"/>
        <v>204.66274114905056</v>
      </c>
      <c r="AA21" s="539">
        <f t="shared" si="26"/>
        <v>231.47593167070681</v>
      </c>
      <c r="AB21" s="483">
        <f t="shared" si="26"/>
        <v>299.54617581796305</v>
      </c>
      <c r="AC21" s="484">
        <f t="shared" si="26"/>
        <v>350.85244613725854</v>
      </c>
      <c r="AD21" s="861">
        <f t="shared" si="27"/>
        <v>1.1469884589652626</v>
      </c>
      <c r="AE21" s="861">
        <f t="shared" si="27"/>
        <v>1.4985017708430501</v>
      </c>
      <c r="AF21" s="861">
        <f t="shared" si="27"/>
        <v>1.7580888674303619</v>
      </c>
      <c r="AG21" s="157">
        <f>ROUND(V21*numberDwellingsUK*Y21,-3)</f>
        <v>181626000</v>
      </c>
      <c r="AH21" s="405" t="str">
        <f>'Loft insulation'!T52</f>
        <v>high</v>
      </c>
      <c r="AI21" s="405" t="s">
        <v>811</v>
      </c>
      <c r="AJ21" s="535" t="s">
        <v>709</v>
      </c>
      <c r="AL21" s="647"/>
      <c r="AM21" s="582"/>
      <c r="AN21" s="582"/>
    </row>
    <row r="22" spans="1:40" ht="17">
      <c r="A22" s="12" t="s">
        <v>809</v>
      </c>
      <c r="B22" s="338">
        <f>ROUND('Loft insulation'!B53,-1)</f>
        <v>540</v>
      </c>
      <c r="C22" s="339">
        <f>ROUND('Loft insulation'!C53,-1)</f>
        <v>710</v>
      </c>
      <c r="D22" s="340">
        <f>ROUND('Loft insulation'!D53,-1)</f>
        <v>800</v>
      </c>
      <c r="E22" s="338">
        <f>ROUND('Loft insulation'!E53,-1)</f>
        <v>880</v>
      </c>
      <c r="F22" s="339">
        <f>ROUND('Loft insulation'!F53,-1)</f>
        <v>1150</v>
      </c>
      <c r="G22" s="340">
        <f>ROUND('Loft insulation'!G53,-1)</f>
        <v>1290</v>
      </c>
      <c r="H22" s="338">
        <f>ROUND('Loft insulation'!H53,-1)</f>
        <v>480</v>
      </c>
      <c r="I22" s="339">
        <f>ROUND('Loft insulation'!I53,-1)</f>
        <v>550</v>
      </c>
      <c r="J22" s="340">
        <f>ROUND('Loft insulation'!J53,-1)</f>
        <v>610</v>
      </c>
      <c r="K22" s="763">
        <f>'Loft insulation'!N14</f>
        <v>5.8000000000000003E-2</v>
      </c>
      <c r="L22" s="447">
        <f>'Loft insulation'!K53/1000</f>
        <v>3.947734910345281</v>
      </c>
      <c r="M22" s="448">
        <f>'Loft insulation'!L53/1000</f>
        <v>4.1670535164755735</v>
      </c>
      <c r="N22" s="449">
        <f>'Loft insulation'!M53/1000</f>
        <v>4.342508401379809</v>
      </c>
      <c r="O22" s="447">
        <f>'Loft insulation'!N53/1000</f>
        <v>0.33899547676676561</v>
      </c>
      <c r="P22" s="448">
        <f>'Loft insulation'!O53/1000</f>
        <v>0.35782855880936365</v>
      </c>
      <c r="Q22" s="449">
        <f>'Loft insulation'!P53/1000</f>
        <v>0.37289502444344214</v>
      </c>
      <c r="R22" s="447">
        <f>'Loft insulation'!Q53/1000</f>
        <v>0.19075220634781576</v>
      </c>
      <c r="S22" s="448">
        <f>'Loft insulation'!R53/1000</f>
        <v>0.20134955114491659</v>
      </c>
      <c r="T22" s="449">
        <f>'Loft insulation'!S53/1000</f>
        <v>0.20982742698259729</v>
      </c>
      <c r="U22" s="159">
        <f t="shared" si="24"/>
        <v>0.15903642036840054</v>
      </c>
      <c r="V22" s="135">
        <f t="shared" si="24"/>
        <v>0.16787177705553388</v>
      </c>
      <c r="W22" s="160">
        <f t="shared" si="24"/>
        <v>0.1749400624052406</v>
      </c>
      <c r="X22" s="157">
        <f t="shared" si="25"/>
        <v>62.429406206822613</v>
      </c>
      <c r="Y22" s="155">
        <f t="shared" si="25"/>
        <v>80.856747761477038</v>
      </c>
      <c r="Z22" s="158">
        <f t="shared" si="25"/>
        <v>90.923184146238796</v>
      </c>
      <c r="AA22" s="539">
        <f t="shared" si="26"/>
        <v>490.55511142679927</v>
      </c>
      <c r="AB22" s="483">
        <f t="shared" si="26"/>
        <v>676.97363600983886</v>
      </c>
      <c r="AC22" s="484">
        <f t="shared" si="26"/>
        <v>793.9275514058794</v>
      </c>
      <c r="AD22" s="861">
        <f t="shared" si="27"/>
        <v>2.4178406004683257</v>
      </c>
      <c r="AE22" s="861">
        <f t="shared" si="27"/>
        <v>3.3556244547651963</v>
      </c>
      <c r="AF22" s="861">
        <f t="shared" si="27"/>
        <v>3.9401846822446784</v>
      </c>
      <c r="AG22" s="157">
        <f>ROUND(V22*numberDwellingsUK*Y22,-3)</f>
        <v>382148000</v>
      </c>
      <c r="AH22" s="405" t="str">
        <f>'Loft insulation'!T53</f>
        <v>medium</v>
      </c>
      <c r="AI22" s="405" t="s">
        <v>813</v>
      </c>
      <c r="AJ22" s="535" t="s">
        <v>709</v>
      </c>
      <c r="AL22" s="647"/>
      <c r="AM22" s="582"/>
      <c r="AN22" s="582"/>
    </row>
    <row r="23" spans="1:40" ht="17">
      <c r="A23" s="12" t="str">
        <f>'Loft insulation'!A54</f>
        <v>100-150 to 300mm</v>
      </c>
      <c r="B23" s="338">
        <f>ROUND('Loft insulation'!B54,-1)</f>
        <v>370</v>
      </c>
      <c r="C23" s="339">
        <f>ROUND('Loft insulation'!C54,-1)</f>
        <v>440</v>
      </c>
      <c r="D23" s="340">
        <f>ROUND('Loft insulation'!D54,-1)</f>
        <v>490</v>
      </c>
      <c r="E23" s="338">
        <f>ROUND('Loft insulation'!E54,-1)</f>
        <v>600</v>
      </c>
      <c r="F23" s="339">
        <f>ROUND('Loft insulation'!F54,-1)</f>
        <v>700</v>
      </c>
      <c r="G23" s="340">
        <f>ROUND('Loft insulation'!G54,-1)</f>
        <v>790</v>
      </c>
      <c r="H23" s="338">
        <f>ROUND('Loft insulation'!H54,-1)</f>
        <v>310</v>
      </c>
      <c r="I23" s="339">
        <f>ROUND('Loft insulation'!I54,-1)</f>
        <v>350</v>
      </c>
      <c r="J23" s="340">
        <f>ROUND('Loft insulation'!J54,-1)</f>
        <v>390</v>
      </c>
      <c r="K23" s="763">
        <f>'Loft insulation'!N15</f>
        <v>3.7999999999999999E-2</v>
      </c>
      <c r="L23" s="447">
        <f>'Loft insulation'!K54/1000</f>
        <v>3.3148287581304086</v>
      </c>
      <c r="M23" s="448">
        <f>'Loft insulation'!L54/1000</f>
        <v>3.4989859113598754</v>
      </c>
      <c r="N23" s="449">
        <f>'Loft insulation'!M54/1000</f>
        <v>3.6463116339434491</v>
      </c>
      <c r="O23" s="447">
        <f>'Loft insulation'!N54/1000</f>
        <v>0.29135974375747914</v>
      </c>
      <c r="P23" s="448">
        <f>'Loft insulation'!O54/1000</f>
        <v>0.30754639618845014</v>
      </c>
      <c r="Q23" s="449">
        <f>'Loft insulation'!P54/1000</f>
        <v>0.32049571813322703</v>
      </c>
      <c r="R23" s="447">
        <f>'Loft insulation'!Q54/1000</f>
        <v>0.20202749659202493</v>
      </c>
      <c r="S23" s="448">
        <f>'Loft insulation'!R54/1000</f>
        <v>0.21325124640269294</v>
      </c>
      <c r="T23" s="449">
        <f>'Loft insulation'!S54/1000</f>
        <v>0.22223024625122742</v>
      </c>
      <c r="U23" s="159">
        <f t="shared" si="24"/>
        <v>0.1352646331383999</v>
      </c>
      <c r="V23" s="135">
        <f t="shared" si="24"/>
        <v>0.14277933497942208</v>
      </c>
      <c r="W23" s="160">
        <f t="shared" si="24"/>
        <v>0.14879109645223987</v>
      </c>
      <c r="X23" s="157">
        <f t="shared" si="25"/>
        <v>43.199293870617055</v>
      </c>
      <c r="Y23" s="155">
        <f t="shared" si="25"/>
        <v>50.935871653895902</v>
      </c>
      <c r="Z23" s="158">
        <f t="shared" si="25"/>
        <v>56.805419246821522</v>
      </c>
      <c r="AA23" s="539">
        <f t="shared" si="26"/>
        <v>285.02375398727418</v>
      </c>
      <c r="AB23" s="483">
        <f t="shared" si="26"/>
        <v>355.88392789405549</v>
      </c>
      <c r="AC23" s="484">
        <f t="shared" si="26"/>
        <v>413.92713402552658</v>
      </c>
      <c r="AD23" s="861">
        <f t="shared" si="27"/>
        <v>1.4090399194375678</v>
      </c>
      <c r="AE23" s="861">
        <f t="shared" si="27"/>
        <v>1.7687047637384479</v>
      </c>
      <c r="AF23" s="861">
        <f t="shared" si="27"/>
        <v>2.0526284231806726</v>
      </c>
      <c r="AG23" s="157">
        <f>ROUND(V23*numberDwellingsUK*Y23,-3)</f>
        <v>204751000</v>
      </c>
      <c r="AH23" s="405" t="str">
        <f>'Loft insulation'!T54</f>
        <v>medium</v>
      </c>
      <c r="AI23" s="405" t="s">
        <v>813</v>
      </c>
      <c r="AJ23" s="535" t="s">
        <v>709</v>
      </c>
      <c r="AL23" s="647"/>
      <c r="AM23" s="582"/>
      <c r="AN23" s="582"/>
    </row>
    <row r="24" spans="1:40" ht="17">
      <c r="A24" s="12" t="str">
        <f>'Loft insulation'!A55</f>
        <v>150-200 to 300mm</v>
      </c>
      <c r="B24" s="338">
        <f>ROUND('Loft insulation'!B55,-1)</f>
        <v>160</v>
      </c>
      <c r="C24" s="339">
        <f>ROUND('Loft insulation'!C55,-1)</f>
        <v>180</v>
      </c>
      <c r="D24" s="340">
        <f>ROUND('Loft insulation'!D55,-1)</f>
        <v>200</v>
      </c>
      <c r="E24" s="338">
        <f>ROUND('Loft insulation'!E55,-1)</f>
        <v>250</v>
      </c>
      <c r="F24" s="339">
        <f>ROUND('Loft insulation'!F55,-1)</f>
        <v>290</v>
      </c>
      <c r="G24" s="340">
        <f>ROUND('Loft insulation'!G55,-1)</f>
        <v>330</v>
      </c>
      <c r="H24" s="338">
        <f>ROUND('Loft insulation'!H55,-1)</f>
        <v>130</v>
      </c>
      <c r="I24" s="339">
        <f>ROUND('Loft insulation'!I55,-1)</f>
        <v>150</v>
      </c>
      <c r="J24" s="340">
        <f>ROUND('Loft insulation'!J55,-1)</f>
        <v>170</v>
      </c>
      <c r="K24" s="763">
        <f>'Loft insulation'!N16</f>
        <v>1.6E-2</v>
      </c>
      <c r="L24" s="447">
        <f>'Loft insulation'!K55/1000</f>
        <v>2.8939090490176529</v>
      </c>
      <c r="M24" s="448">
        <f>'Loft insulation'!L55/1000</f>
        <v>3.0546817739630785</v>
      </c>
      <c r="N24" s="449">
        <f>'Loft insulation'!M55/1000</f>
        <v>3.183299953919418</v>
      </c>
      <c r="O24" s="447">
        <f>'Loft insulation'!N55/1000</f>
        <v>0.21755947364309491</v>
      </c>
      <c r="P24" s="448">
        <f>'Loft insulation'!O55/1000</f>
        <v>0.22964611106771127</v>
      </c>
      <c r="Q24" s="449">
        <f>'Loft insulation'!P55/1000</f>
        <v>0.23931542100740438</v>
      </c>
      <c r="R24" s="447">
        <f>'Loft insulation'!Q55/1000</f>
        <v>0.16778087078902687</v>
      </c>
      <c r="S24" s="448">
        <f>'Loft insulation'!R55/1000</f>
        <v>0.17710203027730614</v>
      </c>
      <c r="T24" s="449">
        <f>'Loft insulation'!S55/1000</f>
        <v>0.18455895786792956</v>
      </c>
      <c r="U24" s="159">
        <f t="shared" si="24"/>
        <v>0.11647618369109265</v>
      </c>
      <c r="V24" s="135">
        <f t="shared" si="24"/>
        <v>0.12294708278504227</v>
      </c>
      <c r="W24" s="160">
        <f t="shared" si="24"/>
        <v>0.12812380206020194</v>
      </c>
      <c r="X24" s="157">
        <f t="shared" si="25"/>
        <v>18.4074427175597</v>
      </c>
      <c r="Y24" s="155">
        <f t="shared" si="25"/>
        <v>20.829695852128047</v>
      </c>
      <c r="Z24" s="158">
        <f t="shared" si="25"/>
        <v>23.251948986696391</v>
      </c>
      <c r="AA24" s="539">
        <f t="shared" si="26"/>
        <v>104.11338043528787</v>
      </c>
      <c r="AB24" s="483">
        <f t="shared" si="26"/>
        <v>124.30601993132855</v>
      </c>
      <c r="AC24" s="484">
        <f t="shared" si="26"/>
        <v>144.55519674647863</v>
      </c>
      <c r="AD24" s="861">
        <f t="shared" si="27"/>
        <v>0.52467990295196387</v>
      </c>
      <c r="AE24" s="861">
        <f t="shared" si="27"/>
        <v>0.62305738475545724</v>
      </c>
      <c r="AF24" s="861">
        <f t="shared" si="27"/>
        <v>0.7214348665589505</v>
      </c>
      <c r="AG24" s="157">
        <f>ROUND(V24*numberDwellingsUK*Y24,-3)</f>
        <v>72101000</v>
      </c>
      <c r="AH24" s="405" t="str">
        <f>'Loft insulation'!T55</f>
        <v>low</v>
      </c>
      <c r="AI24" s="405" t="s">
        <v>813</v>
      </c>
      <c r="AJ24" s="535" t="s">
        <v>709</v>
      </c>
      <c r="AL24" s="647"/>
      <c r="AM24" s="582"/>
      <c r="AN24" s="582"/>
    </row>
    <row r="25" spans="1:40">
      <c r="A25" s="20" t="s">
        <v>446</v>
      </c>
      <c r="B25" s="527"/>
      <c r="C25" s="25"/>
      <c r="D25" s="26"/>
      <c r="E25" s="527"/>
      <c r="F25" s="25"/>
      <c r="G25" s="26"/>
      <c r="H25" s="527"/>
      <c r="I25" s="25"/>
      <c r="J25" s="26"/>
      <c r="K25" s="759"/>
      <c r="L25" s="527"/>
      <c r="M25" s="25"/>
      <c r="N25" s="26"/>
      <c r="O25" s="527"/>
      <c r="P25" s="25"/>
      <c r="Q25" s="26"/>
      <c r="R25" s="527"/>
      <c r="S25" s="25"/>
      <c r="T25" s="26"/>
      <c r="U25" s="528"/>
      <c r="W25" s="51"/>
      <c r="X25" s="528"/>
      <c r="Z25" s="51"/>
      <c r="AA25" s="528"/>
      <c r="AC25" s="51"/>
      <c r="AD25" s="528"/>
      <c r="AF25" s="51"/>
      <c r="AG25" s="879"/>
      <c r="AH25" s="596"/>
      <c r="AI25" s="596"/>
      <c r="AJ25" s="536"/>
      <c r="AL25" s="45"/>
    </row>
    <row r="26" spans="1:40" ht="17">
      <c r="A26" s="16" t="s">
        <v>699</v>
      </c>
      <c r="B26" s="338">
        <f>ROUND('Radiator foil'!B89,0)</f>
        <v>6</v>
      </c>
      <c r="C26" s="339">
        <f>ROUND('Radiator foil'!C89,0)</f>
        <v>27</v>
      </c>
      <c r="D26" s="340">
        <f>ROUND('Radiator foil'!D89,0)</f>
        <v>57</v>
      </c>
      <c r="E26" s="338">
        <f>ROUND('Radiator foil'!E89,0)</f>
        <v>11</v>
      </c>
      <c r="F26" s="339">
        <f>ROUND('Radiator foil'!F89,0)</f>
        <v>46</v>
      </c>
      <c r="G26" s="340">
        <f>ROUND('Radiator foil'!G89,0)</f>
        <v>96</v>
      </c>
      <c r="H26" s="338">
        <f>ROUND('Radiator foil'!H89,0)</f>
        <v>0</v>
      </c>
      <c r="I26" s="339">
        <f>ROUND('Radiator foil'!I89,0)</f>
        <v>0</v>
      </c>
      <c r="J26" s="340">
        <f>ROUND('Radiator foil'!J89,0)</f>
        <v>0</v>
      </c>
      <c r="K26" s="756">
        <f t="shared" ref="K26:K33" si="28">C26/MeanDomesticGasBill</f>
        <v>2.3010650983080047E-3</v>
      </c>
      <c r="L26" s="447">
        <f>'Radiator foil'!K89/1000</f>
        <v>3.5146710920520001</v>
      </c>
      <c r="M26" s="448">
        <f>'Radiator foil'!L89/1000</f>
        <v>3.9051901022800002</v>
      </c>
      <c r="N26" s="449">
        <f>'Radiator foil'!M89/1000</f>
        <v>4.2957091125080007</v>
      </c>
      <c r="O26" s="447">
        <f>'Radiator foil'!N89/1000</f>
        <v>0.20055481232</v>
      </c>
      <c r="P26" s="448">
        <f>'Radiator foil'!O89/1000</f>
        <v>0.25069351540000001</v>
      </c>
      <c r="Q26" s="449">
        <f>'Radiator foil'!P89/1000</f>
        <v>0.27576286694000002</v>
      </c>
      <c r="R26" s="447">
        <f>'Radiator foil'!Q89/1000</f>
        <v>0</v>
      </c>
      <c r="S26" s="448">
        <f>'Radiator foil'!R89/1000</f>
        <v>0</v>
      </c>
      <c r="T26" s="449">
        <f>'Radiator foil'!S89/1000</f>
        <v>0</v>
      </c>
      <c r="U26" s="159">
        <f t="shared" ref="U26:W33" si="29">(L26+O26+R26)/numberDwellingsUK*1000000</f>
        <v>0.13196170311288855</v>
      </c>
      <c r="V26" s="135">
        <f t="shared" si="29"/>
        <v>0.14761349491093909</v>
      </c>
      <c r="W26" s="160">
        <f t="shared" si="29"/>
        <v>0.16237484440203301</v>
      </c>
      <c r="X26" s="157">
        <f t="shared" ref="X26:Z31" si="30">(B26*gasPriceP*L26+E26*oilPriceP*O26+H26*electricityPriceDualRateP*R26)/100/SUM(L26,O26,R26)</f>
        <v>0.64201123656047132</v>
      </c>
      <c r="Y26" s="155">
        <f t="shared" si="30"/>
        <v>2.8813432179082952</v>
      </c>
      <c r="Z26" s="158">
        <f t="shared" si="30"/>
        <v>6.0763598310055364</v>
      </c>
      <c r="AA26" s="539">
        <f t="shared" ref="AA26:AC33" si="31">(B26*L26*carbonGasPerkWh+E26*O26*carbonOilPerkWh + H26*R26*carbonElectricityPerkWh)</f>
        <v>4.4758446782158083</v>
      </c>
      <c r="AB26" s="483">
        <f t="shared" si="31"/>
        <v>22.514597889395041</v>
      </c>
      <c r="AC26" s="484">
        <f t="shared" si="31"/>
        <v>52.20117068306871</v>
      </c>
      <c r="AD26" s="861">
        <f t="shared" ref="AD26:AF33" si="32">U26*numberDwellingsUK*B26/1000000000</f>
        <v>2.2291355426232003E-2</v>
      </c>
      <c r="AE26" s="861">
        <f t="shared" si="32"/>
        <v>0.11220885767736</v>
      </c>
      <c r="AF26" s="861">
        <f t="shared" si="32"/>
        <v>0.26057390282853604</v>
      </c>
      <c r="AG26" s="157">
        <f t="shared" ref="AG26:AG33" si="33">ROUND(V26*numberDwellingsUK*Y26,-3)</f>
        <v>11975000</v>
      </c>
      <c r="AH26" s="597" t="str">
        <f>'Radiator foil'!T89</f>
        <v>-</v>
      </c>
      <c r="AI26" s="597" t="s">
        <v>812</v>
      </c>
      <c r="AJ26" s="535" t="s">
        <v>708</v>
      </c>
      <c r="AL26" s="647"/>
    </row>
    <row r="27" spans="1:40" ht="17">
      <c r="A27" s="16" t="s">
        <v>447</v>
      </c>
      <c r="B27" s="338">
        <f>ROUND('Radiator foil'!B90,-1)</f>
        <v>10</v>
      </c>
      <c r="C27" s="339">
        <f>ROUND('Radiator foil'!C90,-1)</f>
        <v>50</v>
      </c>
      <c r="D27" s="340">
        <f>ROUND('Radiator foil'!D90,-1)</f>
        <v>100</v>
      </c>
      <c r="E27" s="338">
        <f>ROUND('Radiator foil'!E90,-1)</f>
        <v>20</v>
      </c>
      <c r="F27" s="339">
        <f>ROUND('Radiator foil'!F90,-1)</f>
        <v>80</v>
      </c>
      <c r="G27" s="340">
        <f>ROUND('Radiator foil'!G90,-1)</f>
        <v>170</v>
      </c>
      <c r="H27" s="338">
        <f>ROUND('Radiator foil'!H90,-1)</f>
        <v>0</v>
      </c>
      <c r="I27" s="339">
        <f>ROUND('Radiator foil'!I90,-1)</f>
        <v>0</v>
      </c>
      <c r="J27" s="340">
        <f>ROUND('Radiator foil'!J90,-1)</f>
        <v>0</v>
      </c>
      <c r="K27" s="756">
        <f t="shared" si="28"/>
        <v>4.2612316635333419E-3</v>
      </c>
      <c r="L27" s="447">
        <f>'Radiator foil'!K90/1000</f>
        <v>7.6598186584479997</v>
      </c>
      <c r="M27" s="448">
        <f>'Radiator foil'!L90/1000</f>
        <v>9.5747733230599987</v>
      </c>
      <c r="N27" s="449">
        <f>'Radiator foil'!M90/1000</f>
        <v>10.532250655366001</v>
      </c>
      <c r="O27" s="447">
        <f>'Radiator foil'!N90/1000</f>
        <v>0.49172173863999996</v>
      </c>
      <c r="P27" s="448">
        <f>'Radiator foil'!O90/1000</f>
        <v>0.61465217329999999</v>
      </c>
      <c r="Q27" s="449">
        <f>'Radiator foil'!P90/1000</f>
        <v>0.67611739062999998</v>
      </c>
      <c r="R27" s="447">
        <f>'Radiator foil'!Q90/1000</f>
        <v>0</v>
      </c>
      <c r="S27" s="448">
        <f>'Radiator foil'!R90/1000</f>
        <v>0</v>
      </c>
      <c r="T27" s="449">
        <f>'Radiator foil'!S90/1000</f>
        <v>0</v>
      </c>
      <c r="U27" s="159">
        <f t="shared" si="29"/>
        <v>0.28953586712651669</v>
      </c>
      <c r="V27" s="135">
        <f t="shared" si="29"/>
        <v>0.36191983390814575</v>
      </c>
      <c r="W27" s="160">
        <f t="shared" si="29"/>
        <v>0.39811181729896045</v>
      </c>
      <c r="X27" s="157">
        <f t="shared" si="30"/>
        <v>1.0844330914350073</v>
      </c>
      <c r="Y27" s="155">
        <f t="shared" si="30"/>
        <v>5.3056001347594757</v>
      </c>
      <c r="Z27" s="158">
        <f t="shared" si="30"/>
        <v>10.669482930726732</v>
      </c>
      <c r="AA27" s="539">
        <f t="shared" si="31"/>
        <v>16.749363720200321</v>
      </c>
      <c r="AB27" s="483">
        <f t="shared" si="31"/>
        <v>101.36440151543199</v>
      </c>
      <c r="AC27" s="484">
        <f t="shared" si="31"/>
        <v>224.82720028865143</v>
      </c>
      <c r="AD27" s="861">
        <f t="shared" si="32"/>
        <v>8.1515403970880002E-2</v>
      </c>
      <c r="AE27" s="861">
        <f t="shared" si="32"/>
        <v>0.50947127481799992</v>
      </c>
      <c r="AF27" s="861">
        <f t="shared" si="32"/>
        <v>1.1208368045996</v>
      </c>
      <c r="AG27" s="157">
        <f t="shared" si="33"/>
        <v>54061000</v>
      </c>
      <c r="AH27" s="597" t="str">
        <f>'Radiator foil'!T90</f>
        <v>-</v>
      </c>
      <c r="AI27" s="597" t="s">
        <v>812</v>
      </c>
      <c r="AJ27" s="535" t="s">
        <v>708</v>
      </c>
      <c r="AL27" s="647"/>
    </row>
    <row r="28" spans="1:40" ht="17">
      <c r="A28" s="16" t="s">
        <v>531</v>
      </c>
      <c r="B28" s="338">
        <f>ROUND('Radiator foil'!B91,-1)</f>
        <v>20</v>
      </c>
      <c r="C28" s="339">
        <f>ROUND('Radiator foil'!C91,-1)</f>
        <v>100</v>
      </c>
      <c r="D28" s="340">
        <f>ROUND('Radiator foil'!D91,-1)</f>
        <v>210</v>
      </c>
      <c r="E28" s="338">
        <f>ROUND('Radiator foil'!E91,-1)</f>
        <v>40</v>
      </c>
      <c r="F28" s="339">
        <f>ROUND('Radiator foil'!F91,-1)</f>
        <v>170</v>
      </c>
      <c r="G28" s="340">
        <f>ROUND('Radiator foil'!G91,-1)</f>
        <v>350</v>
      </c>
      <c r="H28" s="338">
        <f>ROUND('Radiator foil'!H91,-1)</f>
        <v>0</v>
      </c>
      <c r="I28" s="339">
        <f>ROUND('Radiator foil'!I91,-1)</f>
        <v>0</v>
      </c>
      <c r="J28" s="340">
        <f>ROUND('Radiator foil'!J91,-1)</f>
        <v>0</v>
      </c>
      <c r="K28" s="756">
        <f t="shared" si="28"/>
        <v>8.5224633270666837E-3</v>
      </c>
      <c r="L28" s="447">
        <f>'Radiator foil'!K91/1000</f>
        <v>8.0362225237280001</v>
      </c>
      <c r="M28" s="448">
        <f>'Radiator foil'!L91/1000</f>
        <v>10.04527815466</v>
      </c>
      <c r="N28" s="449">
        <f>'Radiator foil'!M91/1000</f>
        <v>11.049805970125998</v>
      </c>
      <c r="O28" s="447">
        <f>'Radiator foil'!N91/1000</f>
        <v>0.51588496904000014</v>
      </c>
      <c r="P28" s="448">
        <f>'Radiator foil'!O91/1000</f>
        <v>0.64485621129999993</v>
      </c>
      <c r="Q28" s="449">
        <f>'Radiator foil'!P91/1000</f>
        <v>0.70934183243000004</v>
      </c>
      <c r="R28" s="447">
        <f>'Radiator foil'!Q91/1000</f>
        <v>0</v>
      </c>
      <c r="S28" s="448">
        <f>'Radiator foil'!R91/1000</f>
        <v>0</v>
      </c>
      <c r="T28" s="449">
        <f>'Radiator foil'!S91/1000</f>
        <v>0</v>
      </c>
      <c r="U28" s="159">
        <f t="shared" si="29"/>
        <v>0.30376367386492042</v>
      </c>
      <c r="V28" s="135">
        <f t="shared" si="29"/>
        <v>0.3797045923311505</v>
      </c>
      <c r="W28" s="160">
        <f t="shared" si="29"/>
        <v>0.41767505156426554</v>
      </c>
      <c r="X28" s="157">
        <f t="shared" si="30"/>
        <v>2.1688661828700151</v>
      </c>
      <c r="Y28" s="155">
        <f t="shared" si="30"/>
        <v>10.66948293072673</v>
      </c>
      <c r="Z28" s="158">
        <f t="shared" si="30"/>
        <v>22.365116291680685</v>
      </c>
      <c r="AA28" s="539">
        <f t="shared" si="31"/>
        <v>35.14485655295104</v>
      </c>
      <c r="AB28" s="483">
        <f t="shared" si="31"/>
        <v>214.43201814441397</v>
      </c>
      <c r="AC28" s="484">
        <f t="shared" si="31"/>
        <v>493.99730585030363</v>
      </c>
      <c r="AD28" s="861">
        <f t="shared" si="32"/>
        <v>0.17104214985536004</v>
      </c>
      <c r="AE28" s="861">
        <f t="shared" si="32"/>
        <v>1.069013436596</v>
      </c>
      <c r="AF28" s="861">
        <f t="shared" si="32"/>
        <v>2.4694210385367596</v>
      </c>
      <c r="AG28" s="157">
        <f t="shared" si="33"/>
        <v>114058000</v>
      </c>
      <c r="AH28" s="597" t="str">
        <f>'Radiator foil'!T91</f>
        <v>-</v>
      </c>
      <c r="AI28" s="597" t="s">
        <v>812</v>
      </c>
      <c r="AJ28" s="535" t="s">
        <v>708</v>
      </c>
      <c r="AL28" s="647"/>
    </row>
    <row r="29" spans="1:40" ht="17">
      <c r="A29" s="466" t="s">
        <v>619</v>
      </c>
      <c r="B29" s="338">
        <f>ROUND('Smart thermostats &amp; compens''n'!B43,-1)</f>
        <v>50</v>
      </c>
      <c r="C29" s="339">
        <f>ROUND('Smart thermostats &amp; compens''n'!C43,-1)</f>
        <v>480</v>
      </c>
      <c r="D29" s="340">
        <f>ROUND('Smart thermostats &amp; compens''n'!D43,-1)</f>
        <v>770</v>
      </c>
      <c r="E29" s="338">
        <f>ROUND('Smart thermostats &amp; compens''n'!E43,-1)</f>
        <v>0</v>
      </c>
      <c r="F29" s="339">
        <f>ROUND('Smart thermostats &amp; compens''n'!F43,-1)</f>
        <v>0</v>
      </c>
      <c r="G29" s="340">
        <f>ROUND('Smart thermostats &amp; compens''n'!G43,-1)</f>
        <v>0</v>
      </c>
      <c r="H29" s="338">
        <f>ROUND('Smart thermostats &amp; compens''n'!H43,-1)</f>
        <v>0</v>
      </c>
      <c r="I29" s="339">
        <f>ROUND('Smart thermostats &amp; compens''n'!I43,-1)</f>
        <v>0</v>
      </c>
      <c r="J29" s="340">
        <f>ROUND('Smart thermostats &amp; compens''n'!J43,-1)</f>
        <v>0</v>
      </c>
      <c r="K29" s="756">
        <f t="shared" si="28"/>
        <v>4.0907823969920085E-2</v>
      </c>
      <c r="L29" s="447">
        <f>'Smart thermostats &amp; compens''n'!K43/1000</f>
        <v>13.8798925322</v>
      </c>
      <c r="M29" s="448">
        <f>'Smart thermostats &amp; compens''n'!L43/1000</f>
        <v>16.938173937599998</v>
      </c>
      <c r="N29" s="449">
        <f>'Smart thermostats &amp; compens''n'!M43/1000</f>
        <v>18.820193263999997</v>
      </c>
      <c r="O29" s="447">
        <f>'Smart thermostats &amp; compens''n'!N43/1000</f>
        <v>0</v>
      </c>
      <c r="P29" s="448">
        <f>'Smart thermostats &amp; compens''n'!O43/1000</f>
        <v>0</v>
      </c>
      <c r="Q29" s="449">
        <f>'Smart thermostats &amp; compens''n'!P43/1000</f>
        <v>0</v>
      </c>
      <c r="R29" s="447">
        <f>'Smart thermostats &amp; compens''n'!Q43/1000</f>
        <v>0</v>
      </c>
      <c r="S29" s="448">
        <f>'Smart thermostats &amp; compens''n'!R43/1000</f>
        <v>0</v>
      </c>
      <c r="T29" s="449">
        <f>'Smart thermostats &amp; compens''n'!S43/1000</f>
        <v>0</v>
      </c>
      <c r="U29" s="159">
        <f t="shared" si="29"/>
        <v>0.49300212280969768</v>
      </c>
      <c r="V29" s="135">
        <f t="shared" si="29"/>
        <v>0.60162970919149539</v>
      </c>
      <c r="W29" s="160">
        <f t="shared" si="29"/>
        <v>0.66847745465721709</v>
      </c>
      <c r="X29" s="157">
        <f t="shared" si="30"/>
        <v>5.15</v>
      </c>
      <c r="Y29" s="155">
        <f t="shared" si="30"/>
        <v>49.439999999999991</v>
      </c>
      <c r="Z29" s="158">
        <f t="shared" si="30"/>
        <v>79.31</v>
      </c>
      <c r="AA29" s="539">
        <f t="shared" si="31"/>
        <v>127.69501129623998</v>
      </c>
      <c r="AB29" s="483">
        <f t="shared" si="31"/>
        <v>1495.9795221688319</v>
      </c>
      <c r="AC29" s="484">
        <f t="shared" si="31"/>
        <v>2666.4449816435194</v>
      </c>
      <c r="AD29" s="861">
        <f t="shared" si="32"/>
        <v>0.69399462661</v>
      </c>
      <c r="AE29" s="861">
        <f t="shared" si="32"/>
        <v>8.1303234900479993</v>
      </c>
      <c r="AF29" s="861">
        <f t="shared" si="32"/>
        <v>14.49154881328</v>
      </c>
      <c r="AG29" s="157">
        <f t="shared" si="33"/>
        <v>837423000</v>
      </c>
      <c r="AH29" s="405" t="str">
        <f>'Smart thermostats &amp; compens''n'!T43</f>
        <v>-</v>
      </c>
      <c r="AI29" s="405" t="s">
        <v>811</v>
      </c>
      <c r="AJ29" s="535" t="s">
        <v>708</v>
      </c>
      <c r="AL29" s="647"/>
    </row>
    <row r="30" spans="1:40" ht="17">
      <c r="A30" s="466" t="s">
        <v>620</v>
      </c>
      <c r="B30" s="338">
        <f>ROUND('Smart thermostats &amp; compens''n'!B44,-1)</f>
        <v>130</v>
      </c>
      <c r="C30" s="339">
        <f>ROUND('Smart thermostats &amp; compens''n'!C44,-1)</f>
        <v>290</v>
      </c>
      <c r="D30" s="340">
        <f>ROUND('Smart thermostats &amp; compens''n'!D44,-1)</f>
        <v>480</v>
      </c>
      <c r="E30" s="338">
        <f>ROUND('Smart thermostats &amp; compens''n'!E44,-1)</f>
        <v>0</v>
      </c>
      <c r="F30" s="339">
        <f>ROUND('Smart thermostats &amp; compens''n'!F44,-1)</f>
        <v>0</v>
      </c>
      <c r="G30" s="340">
        <f>ROUND('Smart thermostats &amp; compens''n'!G44,-1)</f>
        <v>0</v>
      </c>
      <c r="H30" s="338">
        <f>ROUND('Smart thermostats &amp; compens''n'!H44,-1)</f>
        <v>0</v>
      </c>
      <c r="I30" s="339">
        <f>ROUND('Smart thermostats &amp; compens''n'!I44,-1)</f>
        <v>0</v>
      </c>
      <c r="J30" s="340">
        <f>ROUND('Smart thermostats &amp; compens''n'!J44,-1)</f>
        <v>0</v>
      </c>
      <c r="K30" s="756">
        <f t="shared" si="28"/>
        <v>2.4715143648493382E-2</v>
      </c>
      <c r="L30" s="447">
        <f>'Smart thermostats &amp; compens''n'!K44/1000</f>
        <v>13.8798925322</v>
      </c>
      <c r="M30" s="448">
        <f>'Smart thermostats &amp; compens''n'!L44/1000</f>
        <v>16.938173937599998</v>
      </c>
      <c r="N30" s="449">
        <f>'Smart thermostats &amp; compens''n'!M44/1000</f>
        <v>18.820193263999997</v>
      </c>
      <c r="O30" s="447">
        <f>'Smart thermostats &amp; compens''n'!N44/1000</f>
        <v>0</v>
      </c>
      <c r="P30" s="448">
        <f>'Smart thermostats &amp; compens''n'!O44/1000</f>
        <v>0</v>
      </c>
      <c r="Q30" s="449">
        <f>'Smart thermostats &amp; compens''n'!P44/1000</f>
        <v>0</v>
      </c>
      <c r="R30" s="447">
        <f>'Smart thermostats &amp; compens''n'!Q44/1000</f>
        <v>0</v>
      </c>
      <c r="S30" s="448">
        <f>'Smart thermostats &amp; compens''n'!R44/1000</f>
        <v>0</v>
      </c>
      <c r="T30" s="449">
        <f>'Smart thermostats &amp; compens''n'!S44/1000</f>
        <v>0</v>
      </c>
      <c r="U30" s="159">
        <f t="shared" si="29"/>
        <v>0.49300212280969768</v>
      </c>
      <c r="V30" s="135">
        <f t="shared" si="29"/>
        <v>0.60162970919149539</v>
      </c>
      <c r="W30" s="160">
        <f t="shared" si="29"/>
        <v>0.66847745465721709</v>
      </c>
      <c r="X30" s="157">
        <f t="shared" si="30"/>
        <v>13.389999999999999</v>
      </c>
      <c r="Y30" s="155">
        <f t="shared" si="30"/>
        <v>29.87</v>
      </c>
      <c r="Z30" s="158">
        <f t="shared" si="30"/>
        <v>49.44</v>
      </c>
      <c r="AA30" s="539">
        <f t="shared" si="31"/>
        <v>332.00702937022396</v>
      </c>
      <c r="AB30" s="483">
        <f t="shared" si="31"/>
        <v>903.82096131033586</v>
      </c>
      <c r="AC30" s="484">
        <f t="shared" si="31"/>
        <v>1662.1994690764795</v>
      </c>
      <c r="AD30" s="861">
        <f t="shared" si="32"/>
        <v>1.8043860291859999</v>
      </c>
      <c r="AE30" s="861">
        <f t="shared" si="32"/>
        <v>4.9120704419039996</v>
      </c>
      <c r="AF30" s="861">
        <f t="shared" si="32"/>
        <v>9.0336927667199998</v>
      </c>
      <c r="AG30" s="157">
        <f t="shared" si="33"/>
        <v>505943000</v>
      </c>
      <c r="AH30" s="405" t="str">
        <f>'Smart thermostats &amp; compens''n'!T44</f>
        <v>-</v>
      </c>
      <c r="AI30" s="405" t="s">
        <v>811</v>
      </c>
      <c r="AJ30" s="535" t="s">
        <v>708</v>
      </c>
      <c r="AL30" s="45"/>
    </row>
    <row r="31" spans="1:40" ht="17">
      <c r="A31" s="466" t="s">
        <v>621</v>
      </c>
      <c r="B31" s="338">
        <f>ROUND('Smart thermostats &amp; compens''n'!B45,-1)</f>
        <v>290</v>
      </c>
      <c r="C31" s="339">
        <f>ROUND('Smart thermostats &amp; compens''n'!C45,-1)</f>
        <v>620</v>
      </c>
      <c r="D31" s="340">
        <f>ROUND('Smart thermostats &amp; compens''n'!D45,-1)</f>
        <v>960</v>
      </c>
      <c r="E31" s="338">
        <f>ROUND('Smart thermostats &amp; compens''n'!E45,-1)</f>
        <v>0</v>
      </c>
      <c r="F31" s="339">
        <f>ROUND('Smart thermostats &amp; compens''n'!F45,-1)</f>
        <v>0</v>
      </c>
      <c r="G31" s="340">
        <f>ROUND('Smart thermostats &amp; compens''n'!G45,-1)</f>
        <v>0</v>
      </c>
      <c r="H31" s="338">
        <f>ROUND('Smart thermostats &amp; compens''n'!H45,-1)</f>
        <v>0</v>
      </c>
      <c r="I31" s="339">
        <f>ROUND('Smart thermostats &amp; compens''n'!I45,-1)</f>
        <v>0</v>
      </c>
      <c r="J31" s="340">
        <f>ROUND('Smart thermostats &amp; compens''n'!J45,-1)</f>
        <v>0</v>
      </c>
      <c r="K31" s="756">
        <f t="shared" si="28"/>
        <v>5.283927262781344E-2</v>
      </c>
      <c r="L31" s="447">
        <f>'Smart thermostats &amp; compens''n'!K45/1000</f>
        <v>13.8798925322</v>
      </c>
      <c r="M31" s="448">
        <f>'Smart thermostats &amp; compens''n'!L45/1000</f>
        <v>16.938173937599998</v>
      </c>
      <c r="N31" s="449">
        <f>'Smart thermostats &amp; compens''n'!M45/1000</f>
        <v>18.820193263999997</v>
      </c>
      <c r="O31" s="447">
        <f>'Smart thermostats &amp; compens''n'!N45/1000</f>
        <v>0</v>
      </c>
      <c r="P31" s="448">
        <f>'Smart thermostats &amp; compens''n'!O45/1000</f>
        <v>0</v>
      </c>
      <c r="Q31" s="449">
        <f>'Smart thermostats &amp; compens''n'!P45/1000</f>
        <v>0</v>
      </c>
      <c r="R31" s="447">
        <f>'Smart thermostats &amp; compens''n'!Q45/1000</f>
        <v>0</v>
      </c>
      <c r="S31" s="448">
        <f>'Smart thermostats &amp; compens''n'!R45/1000</f>
        <v>0</v>
      </c>
      <c r="T31" s="449">
        <f>'Smart thermostats &amp; compens''n'!S45/1000</f>
        <v>0</v>
      </c>
      <c r="U31" s="159">
        <f t="shared" si="29"/>
        <v>0.49300212280969768</v>
      </c>
      <c r="V31" s="135">
        <f t="shared" si="29"/>
        <v>0.60162970919149539</v>
      </c>
      <c r="W31" s="160">
        <f t="shared" si="29"/>
        <v>0.66847745465721709</v>
      </c>
      <c r="X31" s="157">
        <f t="shared" si="30"/>
        <v>29.87</v>
      </c>
      <c r="Y31" s="155">
        <f t="shared" si="30"/>
        <v>63.86</v>
      </c>
      <c r="Z31" s="158">
        <f t="shared" si="30"/>
        <v>98.88</v>
      </c>
      <c r="AA31" s="539">
        <f t="shared" si="31"/>
        <v>740.63106551819192</v>
      </c>
      <c r="AB31" s="483">
        <f t="shared" si="31"/>
        <v>1932.3068828014077</v>
      </c>
      <c r="AC31" s="484">
        <f t="shared" si="31"/>
        <v>3324.3989381529591</v>
      </c>
      <c r="AD31" s="861">
        <f t="shared" si="32"/>
        <v>4.0251688343379994</v>
      </c>
      <c r="AE31" s="861">
        <f t="shared" si="32"/>
        <v>10.501667841311999</v>
      </c>
      <c r="AF31" s="861">
        <f t="shared" si="32"/>
        <v>18.06738553344</v>
      </c>
      <c r="AG31" s="157">
        <f t="shared" si="33"/>
        <v>1081672000</v>
      </c>
      <c r="AH31" s="405" t="str">
        <f>'Smart thermostats &amp; compens''n'!T45</f>
        <v>low</v>
      </c>
      <c r="AI31" s="405" t="s">
        <v>811</v>
      </c>
      <c r="AJ31" s="535" t="s">
        <v>708</v>
      </c>
      <c r="AL31" s="45"/>
    </row>
    <row r="32" spans="1:40" ht="47.25" customHeight="1">
      <c r="A32" s="783" t="str">
        <f>TRVs!A39</f>
        <v>Starting from all rooms at the same temperature, adjust TRVs to 3°C cooler outside the living room</v>
      </c>
      <c r="B32" s="338">
        <f>ROUND(TRVs!B39,-1)</f>
        <v>820</v>
      </c>
      <c r="C32" s="339">
        <f>ROUND(TRVs!C39,-1)</f>
        <v>1270</v>
      </c>
      <c r="D32" s="340">
        <f>ROUND(TRVs!D39,-1)</f>
        <v>1720</v>
      </c>
      <c r="E32" s="338">
        <f>ROUND(TRVs!E39,-1)</f>
        <v>1370</v>
      </c>
      <c r="F32" s="339">
        <f>ROUND(TRVs!F39,-1)</f>
        <v>2130</v>
      </c>
      <c r="G32" s="340">
        <f>ROUND(TRVs!G39,-1)</f>
        <v>2880</v>
      </c>
      <c r="H32" s="338">
        <f>ROUND(TRVs!H39,-1)</f>
        <v>0</v>
      </c>
      <c r="I32" s="339">
        <f>ROUND(TRVs!I39,-1)</f>
        <v>0</v>
      </c>
      <c r="J32" s="340">
        <f>ROUND(TRVs!J39,-1)</f>
        <v>0</v>
      </c>
      <c r="K32" s="764">
        <f t="shared" si="28"/>
        <v>0.10823528425374689</v>
      </c>
      <c r="L32" s="447">
        <f>TRVs!K39/1000</f>
        <v>3.7640386528000005</v>
      </c>
      <c r="M32" s="448">
        <f>TRVs!L39/1000</f>
        <v>3.2935338212</v>
      </c>
      <c r="N32" s="449">
        <f>TRVs!M39/1000</f>
        <v>2.8230289896</v>
      </c>
      <c r="O32" s="447">
        <f>TRVs!N39/1000</f>
        <v>0.24163230399999999</v>
      </c>
      <c r="P32" s="448">
        <f>TRVs!O39/1000</f>
        <v>0.211428266</v>
      </c>
      <c r="Q32" s="449">
        <f>TRVs!P39/1000</f>
        <v>0.18122422799999999</v>
      </c>
      <c r="R32" s="447">
        <f>TRVs!Q39/1000</f>
        <v>0</v>
      </c>
      <c r="S32" s="448">
        <f>TRVs!R39/1000</f>
        <v>0</v>
      </c>
      <c r="T32" s="449">
        <f>TRVs!S39/1000</f>
        <v>0</v>
      </c>
      <c r="U32" s="159">
        <f t="shared" si="29"/>
        <v>0.14227806738403767</v>
      </c>
      <c r="V32" s="135">
        <f t="shared" si="29"/>
        <v>0.12449330896103294</v>
      </c>
      <c r="W32" s="160">
        <f t="shared" si="29"/>
        <v>0.10670855053802825</v>
      </c>
      <c r="X32" s="157">
        <f t="shared" ref="X32:Z33" si="34">(B32*gasPriceP*L32+E32*oilPriceP*O32+H32*electricityPriceDualRateP*R32)/100/SUM(L32,O32,R32)</f>
        <v>87.34988164506052</v>
      </c>
      <c r="Y32" s="155">
        <f t="shared" si="34"/>
        <v>135.33341350272693</v>
      </c>
      <c r="Z32" s="158">
        <f t="shared" si="34"/>
        <v>183.25866269918555</v>
      </c>
      <c r="AA32" s="539">
        <f t="shared" si="31"/>
        <v>657.29794118406403</v>
      </c>
      <c r="AB32" s="483">
        <f t="shared" si="31"/>
        <v>891.22537911461598</v>
      </c>
      <c r="AC32" s="484">
        <f t="shared" si="31"/>
        <v>1034.352174321408</v>
      </c>
      <c r="AD32" s="861">
        <f t="shared" si="32"/>
        <v>3.2846501845760003</v>
      </c>
      <c r="AE32" s="861">
        <f t="shared" si="32"/>
        <v>4.4513018507439996</v>
      </c>
      <c r="AF32" s="861">
        <f t="shared" si="32"/>
        <v>5.1673155342720003</v>
      </c>
      <c r="AG32" s="157">
        <f t="shared" si="33"/>
        <v>474338000</v>
      </c>
      <c r="AH32" s="597" t="str">
        <f>TRVs!T39</f>
        <v>-</v>
      </c>
      <c r="AI32" s="597" t="s">
        <v>812</v>
      </c>
      <c r="AJ32" s="535" t="s">
        <v>708</v>
      </c>
      <c r="AL32" s="647"/>
    </row>
    <row r="33" spans="1:38" ht="36" customHeight="1">
      <c r="A33" s="783" t="str">
        <f>TRVs!A40</f>
        <v>Readjusting existing TRVs outside the living room to 1.5°C cooler than before</v>
      </c>
      <c r="B33" s="246">
        <f>ROUND(TRVs!B40,-1)</f>
        <v>0</v>
      </c>
      <c r="C33" s="263">
        <f>ROUND(TRVs!C40,-1)</f>
        <v>640</v>
      </c>
      <c r="D33" s="264">
        <f>ROUND(TRVs!D40,-1)</f>
        <v>1270</v>
      </c>
      <c r="E33" s="246">
        <f>ROUND(TRVs!E40,-1)</f>
        <v>0</v>
      </c>
      <c r="F33" s="263">
        <f>ROUND(TRVs!F40,-1)</f>
        <v>1060</v>
      </c>
      <c r="G33" s="264">
        <f>ROUND(TRVs!G40,-1)</f>
        <v>2130</v>
      </c>
      <c r="H33" s="246">
        <f>ROUND(TRVs!H40,-1)</f>
        <v>0</v>
      </c>
      <c r="I33" s="263">
        <f>ROUND(TRVs!I40,-1)</f>
        <v>0</v>
      </c>
      <c r="J33" s="264">
        <f>ROUND(TRVs!J40,-1)</f>
        <v>0</v>
      </c>
      <c r="K33" s="765">
        <f t="shared" si="28"/>
        <v>5.4543765293226777E-2</v>
      </c>
      <c r="L33" s="644">
        <f>TRVs!K40/1000</f>
        <v>19.761202927199996</v>
      </c>
      <c r="M33" s="645">
        <f>TRVs!L40/1000</f>
        <v>20.231707758799999</v>
      </c>
      <c r="N33" s="646">
        <f>TRVs!M40/1000</f>
        <v>20.702212590399999</v>
      </c>
      <c r="O33" s="644">
        <f>TRVs!N40/1000</f>
        <v>1.2685695959999999</v>
      </c>
      <c r="P33" s="645">
        <f>TRVs!O40/1000</f>
        <v>1.298773634</v>
      </c>
      <c r="Q33" s="646">
        <f>TRVs!P40/1000</f>
        <v>1.3289776719999997</v>
      </c>
      <c r="R33" s="644">
        <f>TRVs!Q40/1000</f>
        <v>0</v>
      </c>
      <c r="S33" s="645">
        <f>TRVs!R40/1000</f>
        <v>0</v>
      </c>
      <c r="T33" s="646">
        <f>TRVs!S40/1000</f>
        <v>0</v>
      </c>
      <c r="U33" s="27">
        <f t="shared" si="29"/>
        <v>0.74695985376619756</v>
      </c>
      <c r="V33" s="28">
        <f t="shared" si="29"/>
        <v>0.76474461218920242</v>
      </c>
      <c r="W33" s="29">
        <f t="shared" si="29"/>
        <v>0.78252937061220718</v>
      </c>
      <c r="X33" s="73">
        <f t="shared" si="34"/>
        <v>0</v>
      </c>
      <c r="Y33" s="74">
        <f t="shared" si="34"/>
        <v>68.121499305269282</v>
      </c>
      <c r="Z33" s="75">
        <f t="shared" si="34"/>
        <v>135.3334135027269</v>
      </c>
      <c r="AA33" s="590">
        <f t="shared" si="31"/>
        <v>0</v>
      </c>
      <c r="AB33" s="591">
        <f t="shared" si="31"/>
        <v>2754.1949197270878</v>
      </c>
      <c r="AC33" s="592">
        <f t="shared" si="31"/>
        <v>5601.9880972918709</v>
      </c>
      <c r="AD33" s="862">
        <f t="shared" si="32"/>
        <v>0</v>
      </c>
      <c r="AE33" s="862">
        <f t="shared" si="32"/>
        <v>13.779508091392</v>
      </c>
      <c r="AF33" s="863">
        <f t="shared" si="32"/>
        <v>27.979611633248002</v>
      </c>
      <c r="AG33" s="880">
        <f t="shared" si="33"/>
        <v>1466689000</v>
      </c>
      <c r="AH33" s="598" t="str">
        <f>TRVs!T40</f>
        <v>-</v>
      </c>
      <c r="AI33" s="598" t="s">
        <v>812</v>
      </c>
      <c r="AJ33" s="595" t="s">
        <v>708</v>
      </c>
      <c r="AL33" s="647"/>
    </row>
    <row r="34" spans="1:38">
      <c r="B34" s="25"/>
      <c r="C34" s="25"/>
      <c r="D34" s="25"/>
      <c r="E34" s="25"/>
      <c r="F34" s="25"/>
      <c r="G34" s="25"/>
      <c r="H34" s="25"/>
      <c r="I34" s="25"/>
      <c r="J34" s="25"/>
      <c r="K34" s="25"/>
      <c r="L34" s="25"/>
      <c r="M34" s="25"/>
      <c r="N34" s="25"/>
      <c r="O34" s="25"/>
      <c r="P34" s="25"/>
      <c r="Q34" s="25"/>
      <c r="R34" s="25"/>
      <c r="S34" s="25"/>
      <c r="T34" s="25"/>
    </row>
    <row r="35" spans="1:38" ht="32.25" customHeight="1">
      <c r="A35" s="885" t="s">
        <v>866</v>
      </c>
      <c r="B35" s="885"/>
      <c r="C35" s="885"/>
      <c r="D35" s="885"/>
      <c r="E35" s="885"/>
      <c r="F35" s="885"/>
      <c r="G35" s="885"/>
      <c r="H35" s="885"/>
      <c r="I35" s="885"/>
      <c r="J35" s="885"/>
      <c r="K35" s="885"/>
      <c r="L35" s="885"/>
      <c r="M35" s="885"/>
      <c r="N35" s="885"/>
      <c r="O35" s="885"/>
      <c r="P35" s="885"/>
      <c r="Q35" s="885"/>
      <c r="R35" s="885"/>
      <c r="S35" s="885"/>
      <c r="T35" s="885"/>
      <c r="U35" s="885"/>
      <c r="V35" s="885"/>
      <c r="W35" s="885"/>
      <c r="X35" s="885"/>
      <c r="Y35" s="885"/>
      <c r="Z35" s="885"/>
    </row>
  </sheetData>
  <sheetProtection sheet="1" objects="1" scenarios="1"/>
  <mergeCells count="9">
    <mergeCell ref="A35:Z35"/>
    <mergeCell ref="X2:Z2"/>
    <mergeCell ref="U2:W2"/>
    <mergeCell ref="AA2:AC2"/>
    <mergeCell ref="B15:J15"/>
    <mergeCell ref="L2:T2"/>
    <mergeCell ref="B2:J2"/>
    <mergeCell ref="U15:AH15"/>
    <mergeCell ref="AD2:AF2"/>
  </mergeCells>
  <pageMargins left="0.7" right="0.7" top="0.75" bottom="0.75" header="0.3" footer="0.3"/>
  <pageSetup paperSize="9" orientation="portrait" r:id="rId1"/>
  <ignoredErrors>
    <ignoredError sqref="Z10" 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dimension ref="A1:E70"/>
  <sheetViews>
    <sheetView topLeftCell="A21" workbookViewId="0">
      <selection activeCell="B42" sqref="B42"/>
    </sheetView>
  </sheetViews>
  <sheetFormatPr baseColWidth="10" defaultColWidth="10.5" defaultRowHeight="16"/>
  <cols>
    <col min="1" max="1" width="22.5" customWidth="1"/>
  </cols>
  <sheetData>
    <row r="1" spans="1:2">
      <c r="A1" t="s">
        <v>157</v>
      </c>
    </row>
    <row r="2" spans="1:2">
      <c r="A2" t="s">
        <v>158</v>
      </c>
      <c r="B2" t="s">
        <v>167</v>
      </c>
    </row>
    <row r="3" spans="1:2">
      <c r="B3" t="s">
        <v>168</v>
      </c>
    </row>
    <row r="4" spans="1:2">
      <c r="B4" t="s">
        <v>169</v>
      </c>
    </row>
    <row r="5" spans="1:2">
      <c r="B5" t="s">
        <v>181</v>
      </c>
    </row>
    <row r="6" spans="1:2">
      <c r="B6" t="s">
        <v>268</v>
      </c>
    </row>
    <row r="8" spans="1:2">
      <c r="A8" t="s">
        <v>286</v>
      </c>
      <c r="B8" t="s">
        <v>287</v>
      </c>
    </row>
    <row r="9" spans="1:2">
      <c r="B9" t="s">
        <v>288</v>
      </c>
    </row>
    <row r="10" spans="1:2">
      <c r="B10" t="s">
        <v>289</v>
      </c>
    </row>
    <row r="11" spans="1:2">
      <c r="B11" t="s">
        <v>290</v>
      </c>
    </row>
    <row r="13" spans="1:2">
      <c r="A13" t="s">
        <v>465</v>
      </c>
      <c r="B13" t="s">
        <v>466</v>
      </c>
    </row>
    <row r="14" spans="1:2">
      <c r="B14" t="s">
        <v>489</v>
      </c>
    </row>
    <row r="16" spans="1:2">
      <c r="A16" t="s">
        <v>574</v>
      </c>
      <c r="B16" t="s">
        <v>575</v>
      </c>
    </row>
    <row r="17" spans="1:2">
      <c r="A17" t="s">
        <v>576</v>
      </c>
      <c r="B17" t="s">
        <v>575</v>
      </c>
    </row>
    <row r="18" spans="1:2">
      <c r="A18" t="s">
        <v>571</v>
      </c>
      <c r="B18" t="s">
        <v>572</v>
      </c>
    </row>
    <row r="19" spans="1:2">
      <c r="B19" t="s">
        <v>573</v>
      </c>
    </row>
    <row r="20" spans="1:2">
      <c r="A20" t="s">
        <v>662</v>
      </c>
      <c r="B20" t="s">
        <v>663</v>
      </c>
    </row>
    <row r="21" spans="1:2">
      <c r="B21" t="s">
        <v>668</v>
      </c>
    </row>
    <row r="22" spans="1:2">
      <c r="B22" t="s">
        <v>678</v>
      </c>
    </row>
    <row r="23" spans="1:2">
      <c r="A23" t="s">
        <v>753</v>
      </c>
      <c r="B23" t="s">
        <v>754</v>
      </c>
    </row>
    <row r="24" spans="1:2">
      <c r="B24" t="s">
        <v>755</v>
      </c>
    </row>
    <row r="25" spans="1:2">
      <c r="B25" t="s">
        <v>756</v>
      </c>
    </row>
    <row r="26" spans="1:2">
      <c r="B26" t="s">
        <v>760</v>
      </c>
    </row>
    <row r="27" spans="1:2">
      <c r="B27" t="s">
        <v>763</v>
      </c>
    </row>
    <row r="28" spans="1:2">
      <c r="A28" t="s">
        <v>826</v>
      </c>
      <c r="B28" t="s">
        <v>827</v>
      </c>
    </row>
    <row r="29" spans="1:2">
      <c r="B29" t="s">
        <v>837</v>
      </c>
    </row>
    <row r="30" spans="1:2">
      <c r="B30" t="s">
        <v>838</v>
      </c>
    </row>
    <row r="31" spans="1:2">
      <c r="B31" t="s">
        <v>842</v>
      </c>
    </row>
    <row r="32" spans="1:2">
      <c r="B32" t="s">
        <v>840</v>
      </c>
    </row>
    <row r="33" spans="1:4">
      <c r="B33" t="s">
        <v>839</v>
      </c>
    </row>
    <row r="34" spans="1:4">
      <c r="B34" t="s">
        <v>841</v>
      </c>
    </row>
    <row r="35" spans="1:4">
      <c r="B35" t="s">
        <v>843</v>
      </c>
    </row>
    <row r="36" spans="1:4">
      <c r="B36" t="s">
        <v>844</v>
      </c>
    </row>
    <row r="37" spans="1:4">
      <c r="A37" t="s">
        <v>854</v>
      </c>
      <c r="B37" t="s">
        <v>847</v>
      </c>
    </row>
    <row r="38" spans="1:4">
      <c r="B38" t="s">
        <v>860</v>
      </c>
    </row>
    <row r="39" spans="1:4">
      <c r="B39" t="s">
        <v>861</v>
      </c>
    </row>
    <row r="40" spans="1:4">
      <c r="A40" t="s">
        <v>901</v>
      </c>
      <c r="B40" t="s">
        <v>902</v>
      </c>
    </row>
    <row r="41" spans="1:4">
      <c r="B41" t="s">
        <v>903</v>
      </c>
    </row>
    <row r="43" spans="1:4">
      <c r="A43" t="s">
        <v>291</v>
      </c>
      <c r="D43" t="s">
        <v>292</v>
      </c>
    </row>
    <row r="44" spans="1:4">
      <c r="A44" t="s">
        <v>293</v>
      </c>
      <c r="D44" t="s">
        <v>372</v>
      </c>
    </row>
    <row r="45" spans="1:4">
      <c r="A45" t="s">
        <v>294</v>
      </c>
      <c r="D45" t="s">
        <v>295</v>
      </c>
    </row>
    <row r="46" spans="1:4">
      <c r="A46" t="s">
        <v>296</v>
      </c>
      <c r="D46" t="s">
        <v>464</v>
      </c>
    </row>
    <row r="47" spans="1:4">
      <c r="A47" t="s">
        <v>297</v>
      </c>
      <c r="D47" t="s">
        <v>372</v>
      </c>
    </row>
    <row r="48" spans="1:4">
      <c r="A48" t="s">
        <v>172</v>
      </c>
      <c r="D48" t="s">
        <v>372</v>
      </c>
    </row>
    <row r="49" spans="1:5">
      <c r="A49" t="s">
        <v>298</v>
      </c>
      <c r="D49" t="s">
        <v>372</v>
      </c>
    </row>
    <row r="50" spans="1:5">
      <c r="A50" t="s">
        <v>299</v>
      </c>
      <c r="D50" t="s">
        <v>372</v>
      </c>
      <c r="E50" t="s">
        <v>463</v>
      </c>
    </row>
    <row r="51" spans="1:5">
      <c r="A51" t="s">
        <v>300</v>
      </c>
      <c r="D51" t="s">
        <v>372</v>
      </c>
      <c r="E51" t="s">
        <v>461</v>
      </c>
    </row>
    <row r="52" spans="1:5">
      <c r="A52" t="s">
        <v>302</v>
      </c>
      <c r="D52" t="s">
        <v>295</v>
      </c>
      <c r="E52" t="s">
        <v>462</v>
      </c>
    </row>
    <row r="53" spans="1:5">
      <c r="A53" t="s">
        <v>303</v>
      </c>
      <c r="D53" t="s">
        <v>295</v>
      </c>
      <c r="E53" t="s">
        <v>462</v>
      </c>
    </row>
    <row r="54" spans="1:5">
      <c r="A54" t="s">
        <v>373</v>
      </c>
      <c r="D54" t="s">
        <v>295</v>
      </c>
      <c r="E54" t="s">
        <v>462</v>
      </c>
    </row>
    <row r="55" spans="1:5">
      <c r="A55" t="s">
        <v>304</v>
      </c>
      <c r="D55" t="s">
        <v>372</v>
      </c>
    </row>
    <row r="61" spans="1:5">
      <c r="A61" s="19" t="s">
        <v>603</v>
      </c>
    </row>
    <row r="62" spans="1:5">
      <c r="A62" t="s">
        <v>666</v>
      </c>
      <c r="B62" s="19" t="s">
        <v>604</v>
      </c>
      <c r="C62" s="19" t="s">
        <v>605</v>
      </c>
      <c r="D62" s="19" t="s">
        <v>606</v>
      </c>
    </row>
    <row r="63" spans="1:5">
      <c r="A63">
        <v>13</v>
      </c>
      <c r="B63" t="s">
        <v>614</v>
      </c>
      <c r="C63">
        <v>18</v>
      </c>
      <c r="D63" t="s">
        <v>616</v>
      </c>
    </row>
    <row r="64" spans="1:5">
      <c r="A64">
        <v>13</v>
      </c>
      <c r="B64" t="s">
        <v>614</v>
      </c>
      <c r="C64">
        <v>37</v>
      </c>
      <c r="D64" t="s">
        <v>615</v>
      </c>
    </row>
    <row r="65" spans="1:4">
      <c r="A65">
        <v>13</v>
      </c>
      <c r="B65" t="s">
        <v>614</v>
      </c>
      <c r="C65">
        <v>43</v>
      </c>
      <c r="D65" t="s">
        <v>615</v>
      </c>
    </row>
    <row r="66" spans="1:4">
      <c r="A66">
        <v>13</v>
      </c>
      <c r="B66" t="s">
        <v>607</v>
      </c>
      <c r="C66">
        <v>58</v>
      </c>
      <c r="D66" t="s">
        <v>608</v>
      </c>
    </row>
    <row r="67" spans="1:4">
      <c r="A67">
        <v>14</v>
      </c>
      <c r="B67" t="s">
        <v>665</v>
      </c>
      <c r="C67">
        <v>56</v>
      </c>
      <c r="D67" t="s">
        <v>664</v>
      </c>
    </row>
    <row r="68" spans="1:4">
      <c r="A68">
        <v>14</v>
      </c>
      <c r="B68" t="s">
        <v>690</v>
      </c>
      <c r="D68" t="s">
        <v>691</v>
      </c>
    </row>
    <row r="69" spans="1:4">
      <c r="A69">
        <v>14</v>
      </c>
      <c r="B69" t="s">
        <v>692</v>
      </c>
      <c r="D69" t="s">
        <v>693</v>
      </c>
    </row>
    <row r="70" spans="1:4">
      <c r="A70">
        <v>15</v>
      </c>
      <c r="B70" t="s">
        <v>757</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dimension ref="A1:J72"/>
  <sheetViews>
    <sheetView workbookViewId="0">
      <pane ySplit="4" topLeftCell="A5" activePane="bottomLeft" state="frozen"/>
      <selection pane="bottomLeft" activeCell="A50" sqref="A50"/>
    </sheetView>
  </sheetViews>
  <sheetFormatPr baseColWidth="10" defaultColWidth="10.5" defaultRowHeight="16"/>
  <cols>
    <col min="1" max="1" width="52.6640625" customWidth="1"/>
    <col min="2" max="2" width="10.5" bestFit="1" customWidth="1"/>
    <col min="3" max="4" width="11.33203125" bestFit="1" customWidth="1"/>
  </cols>
  <sheetData>
    <row r="1" spans="1:10">
      <c r="A1" s="20" t="s">
        <v>710</v>
      </c>
      <c r="B1" s="16"/>
      <c r="C1" s="16"/>
      <c r="D1" s="16"/>
      <c r="E1" s="16"/>
      <c r="F1" s="16"/>
      <c r="G1" s="16"/>
      <c r="H1" s="16"/>
    </row>
    <row r="2" spans="1:10">
      <c r="A2" s="16"/>
      <c r="B2" s="16"/>
      <c r="C2" s="16"/>
      <c r="D2" s="16"/>
      <c r="E2" s="16"/>
      <c r="F2" s="16"/>
      <c r="G2" s="16"/>
      <c r="H2" s="16"/>
    </row>
    <row r="4" spans="1:10">
      <c r="A4" s="20"/>
      <c r="B4" s="902" t="s">
        <v>750</v>
      </c>
      <c r="C4" s="903"/>
      <c r="D4" s="904"/>
      <c r="E4" s="240"/>
      <c r="F4" s="903" t="s">
        <v>749</v>
      </c>
      <c r="G4" s="903"/>
      <c r="H4" s="904"/>
    </row>
    <row r="5" spans="1:10">
      <c r="A5" s="20"/>
      <c r="B5" s="870" t="s">
        <v>41</v>
      </c>
      <c r="C5" s="871" t="s">
        <v>42</v>
      </c>
      <c r="D5" s="872" t="s">
        <v>43</v>
      </c>
      <c r="E5" s="870"/>
      <c r="F5" s="871" t="s">
        <v>41</v>
      </c>
      <c r="G5" s="871" t="s">
        <v>42</v>
      </c>
      <c r="H5" s="872" t="s">
        <v>43</v>
      </c>
    </row>
    <row r="6" spans="1:10">
      <c r="A6" s="19" t="s">
        <v>926</v>
      </c>
      <c r="B6" s="35"/>
      <c r="C6" s="25"/>
      <c r="D6" s="25"/>
      <c r="E6" s="35"/>
      <c r="F6" s="25"/>
      <c r="G6" s="25"/>
      <c r="H6" s="35"/>
    </row>
    <row r="7" spans="1:10">
      <c r="A7" s="864" t="s">
        <v>950</v>
      </c>
      <c r="B7" s="769">
        <f>INDEX(Summary!B$5:B$33,MATCH($J7,Summary!$A$5:$A$33,0))</f>
        <v>860</v>
      </c>
      <c r="C7" s="770">
        <f>INDEX(Summary!C$5:C$33,MATCH($J7,Summary!$A$5:$A$33,0))</f>
        <v>1330</v>
      </c>
      <c r="D7" s="771">
        <f>INDEX(Summary!D$5:D$33,MATCH($J7,Summary!$A$5:$A$33,0))</f>
        <v>1460</v>
      </c>
      <c r="E7" s="769" t="str">
        <f>INDEX(Summary!AJ$5:AJ$33,MATCH($J7,Summary!$A$5:$A$33,0))</f>
        <v>Multiply</v>
      </c>
      <c r="F7" s="772">
        <f t="shared" ref="F7:H10" si="0">IF($E7="Multiply",(1-B7/MeanDomesticGasBill),1)</f>
        <v>0.92670681538722655</v>
      </c>
      <c r="G7" s="772">
        <f t="shared" si="0"/>
        <v>0.88665123775001309</v>
      </c>
      <c r="H7" s="773">
        <f t="shared" si="0"/>
        <v>0.87557203542482642</v>
      </c>
      <c r="J7" s="865" t="s">
        <v>949</v>
      </c>
    </row>
    <row r="8" spans="1:10">
      <c r="A8" s="866" t="s">
        <v>927</v>
      </c>
      <c r="B8" s="775">
        <f>INDEX(Summary!B$5:B$33,MATCH($J8,Summary!$A$5:$A$33,0))</f>
        <v>30</v>
      </c>
      <c r="C8" s="776">
        <f>INDEX(Summary!C$5:C$33,MATCH($J8,Summary!$A$5:$A$33,0))</f>
        <v>90</v>
      </c>
      <c r="D8" s="777">
        <f>INDEX(Summary!D$5:D$33,MATCH($J8,Summary!$A$5:$A$33,0))</f>
        <v>180</v>
      </c>
      <c r="E8" s="775" t="str">
        <f>INDEX(Summary!AJ$5:AJ$33,MATCH($J8,Summary!$A$5:$A$33,0))</f>
        <v>Add</v>
      </c>
      <c r="F8" s="778">
        <f t="shared" si="0"/>
        <v>1</v>
      </c>
      <c r="G8" s="778">
        <f t="shared" si="0"/>
        <v>1</v>
      </c>
      <c r="H8" s="779">
        <f t="shared" si="0"/>
        <v>1</v>
      </c>
      <c r="J8" s="865" t="s">
        <v>81</v>
      </c>
    </row>
    <row r="9" spans="1:10">
      <c r="A9" s="866" t="s">
        <v>687</v>
      </c>
      <c r="B9" s="775">
        <f>INDEX(Summary!B$5:B$33,MATCH($J9,Summary!$A$5:$A$33,0))</f>
        <v>2.5735294117647101</v>
      </c>
      <c r="C9" s="776">
        <f>INDEX(Summary!C$5:C$33,MATCH($J9,Summary!$A$5:$A$33,0))</f>
        <v>92.647058823529392</v>
      </c>
      <c r="D9" s="777">
        <f>INDEX(Summary!D$5:D$33,MATCH($J9,Summary!$A$5:$A$33,0))</f>
        <v>466.66666666666669</v>
      </c>
      <c r="E9" s="775" t="str">
        <f>INDEX(Summary!AJ$5:AJ$33,MATCH($J9,Summary!$A$5:$A$33,0))</f>
        <v>Add</v>
      </c>
      <c r="F9" s="778">
        <f t="shared" si="0"/>
        <v>1</v>
      </c>
      <c r="G9" s="778">
        <f t="shared" si="0"/>
        <v>1</v>
      </c>
      <c r="H9" s="779">
        <f t="shared" si="0"/>
        <v>1</v>
      </c>
      <c r="J9" s="865" t="s">
        <v>687</v>
      </c>
    </row>
    <row r="10" spans="1:10" ht="34">
      <c r="A10" s="881" t="s">
        <v>864</v>
      </c>
      <c r="B10" s="775">
        <f>INDEX(Summary!B$5:B$33,MATCH($J10,Summary!$A$5:$A$33,0))</f>
        <v>0</v>
      </c>
      <c r="C10" s="776">
        <f>INDEX(Summary!C$5:C$33,MATCH($J10,Summary!$A$5:$A$33,0))</f>
        <v>640</v>
      </c>
      <c r="D10" s="777">
        <f>INDEX(Summary!D$5:D$33,MATCH($J10,Summary!$A$5:$A$33,0))</f>
        <v>1270</v>
      </c>
      <c r="E10" s="775" t="str">
        <f>INDEX(Summary!AJ$5:AJ$33,MATCH($J10,Summary!$A$5:$A$33,0))</f>
        <v>Multiply</v>
      </c>
      <c r="F10" s="778">
        <f t="shared" si="0"/>
        <v>1</v>
      </c>
      <c r="G10" s="778">
        <f t="shared" si="0"/>
        <v>0.9454562347067732</v>
      </c>
      <c r="H10" s="779">
        <f t="shared" si="0"/>
        <v>0.89176471574625316</v>
      </c>
      <c r="J10" s="865" t="s">
        <v>864</v>
      </c>
    </row>
    <row r="11" spans="1:10">
      <c r="A11" s="528"/>
      <c r="B11" s="527"/>
      <c r="C11" s="25"/>
      <c r="D11" s="26"/>
      <c r="E11" s="527"/>
      <c r="F11" s="25"/>
      <c r="G11" s="25"/>
      <c r="H11" s="26"/>
    </row>
    <row r="12" spans="1:10">
      <c r="A12" s="528" t="s">
        <v>775</v>
      </c>
      <c r="B12" s="555">
        <f>SUMIFS(B7:B10,$E7:$E10,"Add")</f>
        <v>32.57352941176471</v>
      </c>
      <c r="C12" s="421">
        <f>SUMIFS(C7:C10,$E7:$E10,"Add")</f>
        <v>182.64705882352939</v>
      </c>
      <c r="D12" s="624">
        <f>SUMIFS(D7:D10,$E7:$E10,"Add")</f>
        <v>646.66666666666674</v>
      </c>
      <c r="E12" s="780" t="s">
        <v>38</v>
      </c>
      <c r="F12" s="25"/>
      <c r="G12" s="25"/>
      <c r="H12" s="26"/>
    </row>
    <row r="13" spans="1:10">
      <c r="A13" s="528" t="s">
        <v>747</v>
      </c>
      <c r="B13" s="744">
        <f>1-B12/MeanDomesticGasBill</f>
        <v>0.99722393290155109</v>
      </c>
      <c r="C13" s="37">
        <f>1-C12/MeanDomesticGasBill</f>
        <v>0.98443397139379885</v>
      </c>
      <c r="D13" s="641">
        <f>1-D12/MeanDomesticGasBill</f>
        <v>0.94488807048496881</v>
      </c>
      <c r="E13" s="527"/>
      <c r="F13" s="25"/>
      <c r="G13" s="25"/>
      <c r="H13" s="26"/>
    </row>
    <row r="14" spans="1:10">
      <c r="A14" s="528" t="s">
        <v>748</v>
      </c>
      <c r="B14" s="744">
        <f>PRODUCT(B13,F7:F10)</f>
        <v>0.92413421508712168</v>
      </c>
      <c r="C14" s="37">
        <f>PRODUCT(C13,G7:G10)</f>
        <v>0.82524109554335867</v>
      </c>
      <c r="D14" s="641">
        <f>PRODUCT(D13,H7:H10)</f>
        <v>0.73777261864452626</v>
      </c>
      <c r="E14" s="527"/>
      <c r="F14" s="25"/>
      <c r="G14" s="25"/>
      <c r="H14" s="26"/>
    </row>
    <row r="15" spans="1:10">
      <c r="A15" s="873" t="s">
        <v>937</v>
      </c>
      <c r="B15" s="875">
        <f>1-B14</f>
        <v>7.586578491287832E-2</v>
      </c>
      <c r="C15" s="876">
        <f t="shared" ref="C15:D15" si="1">1-C14</f>
        <v>0.17475890445664133</v>
      </c>
      <c r="D15" s="876">
        <f t="shared" si="1"/>
        <v>0.26222738135547374</v>
      </c>
      <c r="E15" s="780" t="s">
        <v>938</v>
      </c>
      <c r="F15" s="25"/>
      <c r="G15" s="25"/>
      <c r="H15" s="26"/>
    </row>
    <row r="16" spans="1:10">
      <c r="A16" s="874" t="s">
        <v>937</v>
      </c>
      <c r="B16" s="745">
        <f>ROUND(MeanDomesticGasBill*(1-B14)*gasPriceP/100,-1)</f>
        <v>90</v>
      </c>
      <c r="C16" s="642">
        <f>ROUND(MeanDomesticGasBill*(1-C14)*gasPriceP/100,-1)</f>
        <v>210</v>
      </c>
      <c r="D16" s="746">
        <f>ROUND(MeanDomesticGasBill*(1-D14)*gasPriceP/100,-1)</f>
        <v>320</v>
      </c>
      <c r="E16" s="781" t="s">
        <v>751</v>
      </c>
      <c r="F16" s="35"/>
      <c r="G16" s="35"/>
      <c r="H16" s="36"/>
    </row>
    <row r="18" spans="1:10">
      <c r="A18" s="19" t="s">
        <v>928</v>
      </c>
      <c r="C18" s="19"/>
    </row>
    <row r="19" spans="1:10">
      <c r="A19" s="864" t="s">
        <v>825</v>
      </c>
      <c r="B19" s="769">
        <f>INDEX(Summary!B$5:B$33,MATCH($J19,Summary!$A$5:$A$33,0))</f>
        <v>80</v>
      </c>
      <c r="C19" s="770">
        <f>INDEX(Summary!C$5:C$33,MATCH($J19,Summary!$A$5:$A$33,0))</f>
        <v>230</v>
      </c>
      <c r="D19" s="771">
        <f>INDEX(Summary!D$5:D$33,MATCH($J19,Summary!$A$5:$A$33,0))</f>
        <v>390</v>
      </c>
      <c r="E19" s="770" t="str">
        <f>INDEX(Summary!AJ$5:AJ$33,MATCH($J19,Summary!$A$5:$A$33,0))</f>
        <v>Add</v>
      </c>
      <c r="F19" s="772">
        <f t="shared" ref="F19:H21" si="2">IF($E19="Multiply",(1-B19/MeanDomesticGasBill),1)</f>
        <v>1</v>
      </c>
      <c r="G19" s="772">
        <f t="shared" si="2"/>
        <v>1</v>
      </c>
      <c r="H19" s="773">
        <f t="shared" si="2"/>
        <v>1</v>
      </c>
      <c r="J19" s="865" t="s">
        <v>825</v>
      </c>
    </row>
    <row r="20" spans="1:10">
      <c r="A20" s="866" t="s">
        <v>927</v>
      </c>
      <c r="B20" s="775">
        <f>INDEX(Summary!B$5:B$33,MATCH($J20,Summary!$A$5:$A$33,0))</f>
        <v>30</v>
      </c>
      <c r="C20" s="776">
        <f>INDEX(Summary!C$5:C$33,MATCH($J20,Summary!$A$5:$A$33,0))</f>
        <v>90</v>
      </c>
      <c r="D20" s="777">
        <f>INDEX(Summary!D$5:D$33,MATCH($J20,Summary!$A$5:$A$33,0))</f>
        <v>180</v>
      </c>
      <c r="E20" s="776" t="str">
        <f>INDEX(Summary!AJ$5:AJ$33,MATCH($J20,Summary!$A$5:$A$33,0))</f>
        <v>Add</v>
      </c>
      <c r="F20" s="778">
        <f t="shared" si="2"/>
        <v>1</v>
      </c>
      <c r="G20" s="778">
        <f t="shared" si="2"/>
        <v>1</v>
      </c>
      <c r="H20" s="779">
        <f t="shared" si="2"/>
        <v>1</v>
      </c>
      <c r="J20" s="865" t="s">
        <v>81</v>
      </c>
    </row>
    <row r="21" spans="1:10" ht="34">
      <c r="A21" s="881" t="s">
        <v>864</v>
      </c>
      <c r="B21" s="775">
        <f>INDEX(Summary!B$5:B$33,MATCH($J21,Summary!$A$5:$A$33,0))</f>
        <v>0</v>
      </c>
      <c r="C21" s="776">
        <f>INDEX(Summary!C$5:C$33,MATCH($J21,Summary!$A$5:$A$33,0))</f>
        <v>640</v>
      </c>
      <c r="D21" s="777">
        <f>INDEX(Summary!D$5:D$33,MATCH($J21,Summary!$A$5:$A$33,0))</f>
        <v>1270</v>
      </c>
      <c r="E21" s="776" t="str">
        <f>INDEX(Summary!AJ$5:AJ$33,MATCH($J21,Summary!$A$5:$A$33,0))</f>
        <v>Multiply</v>
      </c>
      <c r="F21" s="778">
        <f t="shared" si="2"/>
        <v>1</v>
      </c>
      <c r="G21" s="778">
        <f t="shared" si="2"/>
        <v>0.9454562347067732</v>
      </c>
      <c r="H21" s="779">
        <f t="shared" si="2"/>
        <v>0.89176471574625316</v>
      </c>
      <c r="J21" s="865" t="s">
        <v>864</v>
      </c>
    </row>
    <row r="22" spans="1:10">
      <c r="A22" s="528"/>
      <c r="B22" s="528"/>
      <c r="D22" s="51"/>
      <c r="H22" s="51"/>
    </row>
    <row r="23" spans="1:10">
      <c r="A23" s="528" t="s">
        <v>775</v>
      </c>
      <c r="B23" s="555">
        <f>SUMIFS(B19:B21,$E19:$E21,"Add")</f>
        <v>110</v>
      </c>
      <c r="C23" s="421">
        <f>SUMIFS(C19:C21,$E19:$E21,"Add")</f>
        <v>320</v>
      </c>
      <c r="D23" s="624">
        <f>SUMIFS(D19:D21,$E19:$E21,"Add")</f>
        <v>570</v>
      </c>
      <c r="E23" t="s">
        <v>38</v>
      </c>
      <c r="H23" s="51"/>
    </row>
    <row r="24" spans="1:10">
      <c r="A24" s="528" t="s">
        <v>851</v>
      </c>
      <c r="B24" s="744">
        <f>1-B23/MeanDomesticGasBill</f>
        <v>0.99062529034022662</v>
      </c>
      <c r="C24" s="37">
        <f>1-C23/MeanDomesticGasBill</f>
        <v>0.9727281173533866</v>
      </c>
      <c r="D24" s="641">
        <f>1-D23/MeanDomesticGasBill</f>
        <v>0.95142195903571991</v>
      </c>
      <c r="H24" s="51"/>
    </row>
    <row r="25" spans="1:10">
      <c r="A25" s="528" t="s">
        <v>748</v>
      </c>
      <c r="B25" s="744">
        <f>PRODUCT(B24,F19:F21)</f>
        <v>0.99062529034022662</v>
      </c>
      <c r="C25" s="37">
        <f>PRODUCT(C24,G19:G21)</f>
        <v>0.91967186322634109</v>
      </c>
      <c r="D25" s="641">
        <f>PRODUCT(D24,H19:H21)</f>
        <v>0.84844453285423205</v>
      </c>
      <c r="H25" s="51"/>
    </row>
    <row r="26" spans="1:10">
      <c r="A26" s="873" t="s">
        <v>937</v>
      </c>
      <c r="B26" s="875">
        <f>1-B25</f>
        <v>9.3747096597733837E-3</v>
      </c>
      <c r="C26" s="876">
        <f t="shared" ref="C26" si="3">1-C25</f>
        <v>8.0328136773658909E-2</v>
      </c>
      <c r="D26" s="876">
        <f t="shared" ref="D26" si="4">1-D25</f>
        <v>0.15155546714576795</v>
      </c>
      <c r="E26" s="780" t="s">
        <v>938</v>
      </c>
      <c r="F26" s="25"/>
      <c r="G26" s="25"/>
      <c r="H26" s="26"/>
    </row>
    <row r="27" spans="1:10">
      <c r="A27" s="599" t="s">
        <v>932</v>
      </c>
      <c r="B27" s="745">
        <f>ROUND(MeanDomesticGasBill*(1-B25)*gasPriceP/100,-1)</f>
        <v>10</v>
      </c>
      <c r="C27" s="642">
        <f>ROUND(MeanDomesticGasBill*(1-C25)*gasPriceP/100,-1)</f>
        <v>100</v>
      </c>
      <c r="D27" s="746">
        <f>ROUND(MeanDomesticGasBill*(1-D25)*gasPriceP/100,-1)</f>
        <v>180</v>
      </c>
      <c r="E27" s="8" t="s">
        <v>751</v>
      </c>
      <c r="F27" s="8"/>
      <c r="G27" s="8"/>
      <c r="H27" s="66"/>
    </row>
    <row r="29" spans="1:10">
      <c r="A29" s="869" t="s">
        <v>940</v>
      </c>
      <c r="B29" s="25"/>
      <c r="C29" s="25"/>
      <c r="D29" s="25"/>
      <c r="E29" s="35"/>
      <c r="F29" s="25"/>
      <c r="G29" s="25"/>
      <c r="H29" s="25"/>
    </row>
    <row r="30" spans="1:10">
      <c r="A30" s="864" t="s">
        <v>929</v>
      </c>
      <c r="B30" s="769">
        <f>INDEX(Summary!B$5:B$33,MATCH($J30,Summary!$A$5:$A$33,0))</f>
        <v>540</v>
      </c>
      <c r="C30" s="770">
        <f>INDEX(Summary!C$5:C$33,MATCH($J30,Summary!$A$5:$A$33,0))</f>
        <v>710</v>
      </c>
      <c r="D30" s="771">
        <f>INDEX(Summary!D$5:D$33,MATCH($J30,Summary!$A$5:$A$33,0))</f>
        <v>800</v>
      </c>
      <c r="E30" s="769" t="str">
        <f>INDEX(Summary!AJ$5:AJ$33,MATCH($J30,Summary!$A$5:$A$33,0))</f>
        <v>Add</v>
      </c>
      <c r="F30" s="772">
        <f t="shared" ref="F30:F33" si="5">IF($E30="Multiply",(1-B30/MeanDomesticGasBill),1)</f>
        <v>1</v>
      </c>
      <c r="G30" s="772">
        <f t="shared" ref="G30:G33" si="6">IF($E30="Multiply",(1-C30/MeanDomesticGasBill),1)</f>
        <v>1</v>
      </c>
      <c r="H30" s="773">
        <f t="shared" ref="H30:H33" si="7">IF($E30="Multiply",(1-D30/MeanDomesticGasBill),1)</f>
        <v>1</v>
      </c>
      <c r="J30" s="865" t="s">
        <v>809</v>
      </c>
    </row>
    <row r="31" spans="1:10">
      <c r="A31" s="866" t="s">
        <v>930</v>
      </c>
      <c r="B31" s="775">
        <f>INDEX(Summary!B$5:B$33,MATCH($J31,Summary!$A$5:$A$33,0))</f>
        <v>290</v>
      </c>
      <c r="C31" s="776">
        <f>INDEX(Summary!C$5:C$33,MATCH($J31,Summary!$A$5:$A$33,0))</f>
        <v>620</v>
      </c>
      <c r="D31" s="777">
        <f>INDEX(Summary!D$5:D$33,MATCH($J31,Summary!$A$5:$A$33,0))</f>
        <v>960</v>
      </c>
      <c r="E31" s="775" t="str">
        <f>INDEX(Summary!AJ$5:AJ$33,MATCH($J31,Summary!$A$5:$A$33,0))</f>
        <v>Multiply</v>
      </c>
      <c r="F31" s="778">
        <f t="shared" si="5"/>
        <v>0.97528485635150663</v>
      </c>
      <c r="G31" s="778">
        <f t="shared" si="6"/>
        <v>0.94716072737218659</v>
      </c>
      <c r="H31" s="779">
        <f t="shared" si="7"/>
        <v>0.9181843520601598</v>
      </c>
      <c r="J31" s="865" t="s">
        <v>621</v>
      </c>
    </row>
    <row r="32" spans="1:10">
      <c r="A32" s="866" t="s">
        <v>501</v>
      </c>
      <c r="B32" s="775">
        <f>INDEX(Summary!B$5:B$33,MATCH($J32,Summary!$A$5:$A$33,0))</f>
        <v>250</v>
      </c>
      <c r="C32" s="776">
        <f>INDEX(Summary!C$5:C$33,MATCH($J32,Summary!$A$5:$A$33,0))</f>
        <v>380</v>
      </c>
      <c r="D32" s="777">
        <f>INDEX(Summary!D$5:D$33,MATCH($J32,Summary!$A$5:$A$33,0))</f>
        <v>500</v>
      </c>
      <c r="E32" s="775" t="str">
        <f>INDEX(Summary!AJ$5:AJ$33,MATCH($J32,Summary!$A$5:$A$33,0))</f>
        <v>Add</v>
      </c>
      <c r="F32" s="778">
        <f t="shared" si="5"/>
        <v>1</v>
      </c>
      <c r="G32" s="778">
        <f t="shared" si="6"/>
        <v>1</v>
      </c>
      <c r="H32" s="779">
        <f t="shared" si="7"/>
        <v>1</v>
      </c>
      <c r="J32" s="865" t="s">
        <v>501</v>
      </c>
    </row>
    <row r="33" spans="1:10">
      <c r="A33" s="867" t="s">
        <v>931</v>
      </c>
      <c r="B33" s="775">
        <f>INDEX(Summary!B$5:B$33,MATCH($J33,Summary!$A$5:$A$33,0))</f>
        <v>290</v>
      </c>
      <c r="C33" s="776">
        <f>INDEX(Summary!C$5:C$33,MATCH($J33,Summary!$A$5:$A$33,0))</f>
        <v>420</v>
      </c>
      <c r="D33" s="777">
        <f>INDEX(Summary!D$5:D$33,MATCH($J33,Summary!$A$5:$A$33,0))</f>
        <v>540</v>
      </c>
      <c r="E33" s="775" t="str">
        <f>INDEX(Summary!AJ$5:AJ$33,MATCH($J33,Summary!$A$5:$A$33,0))</f>
        <v>Multiply</v>
      </c>
      <c r="F33" s="778">
        <f t="shared" si="5"/>
        <v>0.97528485635150663</v>
      </c>
      <c r="G33" s="778">
        <f t="shared" si="6"/>
        <v>0.96420565402631997</v>
      </c>
      <c r="H33" s="779">
        <f t="shared" si="7"/>
        <v>0.95397869803383994</v>
      </c>
      <c r="J33" s="865" t="s">
        <v>946</v>
      </c>
    </row>
    <row r="34" spans="1:10">
      <c r="A34" s="528"/>
      <c r="B34" s="527"/>
      <c r="C34" s="25"/>
      <c r="D34" s="26"/>
      <c r="E34" s="527"/>
      <c r="F34" s="25"/>
      <c r="G34" s="25"/>
      <c r="H34" s="26"/>
    </row>
    <row r="35" spans="1:10">
      <c r="A35" s="528" t="s">
        <v>775</v>
      </c>
      <c r="B35" s="555">
        <f>SUMIFS(B30:B33,$E30:$E33,"Add")</f>
        <v>790</v>
      </c>
      <c r="C35" s="421">
        <f>SUMIFS(C30:C33,$E30:$E33,"Add")</f>
        <v>1090</v>
      </c>
      <c r="D35" s="624">
        <f>SUMIFS(D30:D33,$E30:$E33,"Add")</f>
        <v>1300</v>
      </c>
      <c r="E35" s="780" t="s">
        <v>38</v>
      </c>
      <c r="F35" s="25"/>
      <c r="G35" s="25"/>
      <c r="H35" s="26"/>
    </row>
    <row r="36" spans="1:10">
      <c r="A36" s="528" t="s">
        <v>747</v>
      </c>
      <c r="B36" s="744">
        <f>1-B35/MeanDomesticGasBill</f>
        <v>0.93267253971617325</v>
      </c>
      <c r="C36" s="37">
        <f>1-C35/MeanDomesticGasBill</f>
        <v>0.90710514973497314</v>
      </c>
      <c r="D36" s="641">
        <f>1-D35/MeanDomesticGasBill</f>
        <v>0.88920797674813312</v>
      </c>
      <c r="E36" s="527"/>
      <c r="F36" s="25"/>
      <c r="G36" s="25"/>
      <c r="H36" s="26"/>
    </row>
    <row r="37" spans="1:10">
      <c r="A37" s="528" t="s">
        <v>748</v>
      </c>
      <c r="B37" s="744">
        <f>PRODUCT(B36,F30:F33)</f>
        <v>0.88713998025645391</v>
      </c>
      <c r="C37" s="37">
        <f>PRODUCT(C36,G30:G33)</f>
        <v>0.82842078865190227</v>
      </c>
      <c r="D37" s="641">
        <f>PRODUCT(D36,H30:H33)</f>
        <v>0.77888244274206919</v>
      </c>
      <c r="E37" s="527"/>
      <c r="F37" s="25"/>
      <c r="G37" s="25"/>
      <c r="H37" s="26"/>
    </row>
    <row r="38" spans="1:10">
      <c r="A38" s="873" t="s">
        <v>937</v>
      </c>
      <c r="B38" s="875">
        <f>1-B37</f>
        <v>0.11286001974354609</v>
      </c>
      <c r="C38" s="876">
        <f t="shared" ref="C38" si="8">1-C37</f>
        <v>0.17157921134809773</v>
      </c>
      <c r="D38" s="876">
        <f t="shared" ref="D38" si="9">1-D37</f>
        <v>0.22111755725793081</v>
      </c>
      <c r="E38" s="780" t="s">
        <v>938</v>
      </c>
      <c r="F38" s="25"/>
      <c r="G38" s="25"/>
      <c r="H38" s="26"/>
    </row>
    <row r="39" spans="1:10">
      <c r="A39" s="599" t="s">
        <v>932</v>
      </c>
      <c r="B39" s="745">
        <f>ROUND(MeanDomesticGasBill*(1-B37)*gasPriceP/100,-1)</f>
        <v>140</v>
      </c>
      <c r="C39" s="642">
        <f>ROUND(MeanDomesticGasBill*(1-C37)*gasPriceP/100,-1)</f>
        <v>210</v>
      </c>
      <c r="D39" s="746">
        <f>ROUND(MeanDomesticGasBill*(1-D37)*gasPriceP/100,-1)</f>
        <v>270</v>
      </c>
      <c r="E39" s="781" t="s">
        <v>751</v>
      </c>
      <c r="F39" s="35"/>
      <c r="G39" s="35"/>
      <c r="H39" s="36"/>
    </row>
    <row r="41" spans="1:10">
      <c r="A41" s="869" t="s">
        <v>933</v>
      </c>
      <c r="B41" s="25"/>
      <c r="C41" s="25"/>
      <c r="D41" s="25"/>
      <c r="E41" s="35"/>
      <c r="F41" s="25"/>
      <c r="G41" s="25"/>
      <c r="H41" s="25"/>
    </row>
    <row r="42" spans="1:10">
      <c r="A42" s="864" t="s">
        <v>934</v>
      </c>
      <c r="B42" s="769">
        <f>INDEX(Summary!B$5:B$33,MATCH($J42,Summary!$A$5:$A$33,0))</f>
        <v>820</v>
      </c>
      <c r="C42" s="770">
        <f>INDEX(Summary!C$5:C$33,MATCH($J42,Summary!$A$5:$A$33,0))</f>
        <v>1270</v>
      </c>
      <c r="D42" s="771">
        <f>INDEX(Summary!D$5:D$33,MATCH($J42,Summary!$A$5:$A$33,0))</f>
        <v>1720</v>
      </c>
      <c r="E42" s="769" t="str">
        <f>INDEX(Summary!AJ$5:AJ$33,MATCH($J42,Summary!$A$5:$A$33,0))</f>
        <v>Multiply</v>
      </c>
      <c r="F42" s="772">
        <f t="shared" ref="F42:F45" si="10">IF($E42="Multiply",(1-B42/MeanDomesticGasBill),1)</f>
        <v>0.93011580071805322</v>
      </c>
      <c r="G42" s="772">
        <f t="shared" ref="G42:G45" si="11">IF($E42="Multiply",(1-C42/MeanDomesticGasBill),1)</f>
        <v>0.89176471574625316</v>
      </c>
      <c r="H42" s="773">
        <f t="shared" ref="H42:H45" si="12">IF($E42="Multiply",(1-D42/MeanDomesticGasBill),1)</f>
        <v>0.85341363077445309</v>
      </c>
      <c r="J42" s="865" t="s">
        <v>829</v>
      </c>
    </row>
    <row r="43" spans="1:10">
      <c r="A43" s="866" t="s">
        <v>930</v>
      </c>
      <c r="B43" s="775">
        <f>INDEX(Summary!B$5:B$33,MATCH($J43,Summary!$A$5:$A$33,0))</f>
        <v>290</v>
      </c>
      <c r="C43" s="776">
        <f>INDEX(Summary!C$5:C$33,MATCH($J43,Summary!$A$5:$A$33,0))</f>
        <v>620</v>
      </c>
      <c r="D43" s="777">
        <f>INDEX(Summary!D$5:D$33,MATCH($J43,Summary!$A$5:$A$33,0))</f>
        <v>960</v>
      </c>
      <c r="E43" s="775" t="str">
        <f>INDEX(Summary!AJ$5:AJ$33,MATCH($J43,Summary!$A$5:$A$33,0))</f>
        <v>Multiply</v>
      </c>
      <c r="F43" s="778">
        <f t="shared" si="10"/>
        <v>0.97528485635150663</v>
      </c>
      <c r="G43" s="778">
        <f t="shared" si="11"/>
        <v>0.94716072737218659</v>
      </c>
      <c r="H43" s="779">
        <f t="shared" si="12"/>
        <v>0.9181843520601598</v>
      </c>
      <c r="J43" s="865" t="s">
        <v>621</v>
      </c>
    </row>
    <row r="44" spans="1:10">
      <c r="A44" s="868" t="s">
        <v>929</v>
      </c>
      <c r="B44" s="775">
        <f>INDEX(Summary!B$5:B$33,MATCH($J44,Summary!$A$5:$A$33,0))</f>
        <v>540</v>
      </c>
      <c r="C44" s="776">
        <f>INDEX(Summary!C$5:C$33,MATCH($J44,Summary!$A$5:$A$33,0))</f>
        <v>710</v>
      </c>
      <c r="D44" s="777">
        <f>INDEX(Summary!D$5:D$33,MATCH($J44,Summary!$A$5:$A$33,0))</f>
        <v>800</v>
      </c>
      <c r="E44" s="775" t="str">
        <f>INDEX(Summary!AJ$5:AJ$33,MATCH($J44,Summary!$A$5:$A$33,0))</f>
        <v>Add</v>
      </c>
      <c r="F44" s="778">
        <f t="shared" si="10"/>
        <v>1</v>
      </c>
      <c r="G44" s="778">
        <f t="shared" si="11"/>
        <v>1</v>
      </c>
      <c r="H44" s="779">
        <f t="shared" si="12"/>
        <v>1</v>
      </c>
      <c r="J44" s="865" t="s">
        <v>809</v>
      </c>
    </row>
    <row r="45" spans="1:10">
      <c r="A45" s="867" t="s">
        <v>952</v>
      </c>
      <c r="B45" s="775">
        <f>INDEX(Summary!B$5:B$33,MATCH($J45,Summary!$A$5:$A$33,0))</f>
        <v>860</v>
      </c>
      <c r="C45" s="776">
        <f>INDEX(Summary!C$5:C$33,MATCH($J45,Summary!$A$5:$A$33,0))</f>
        <v>1330</v>
      </c>
      <c r="D45" s="777">
        <f>INDEX(Summary!D$5:D$33,MATCH($J45,Summary!$A$5:$A$33,0))</f>
        <v>1460</v>
      </c>
      <c r="E45" s="775" t="str">
        <f>INDEX(Summary!AJ$5:AJ$33,MATCH($J45,Summary!$A$5:$A$33,0))</f>
        <v>Multiply</v>
      </c>
      <c r="F45" s="778">
        <f t="shared" si="10"/>
        <v>0.92670681538722655</v>
      </c>
      <c r="G45" s="778">
        <f t="shared" si="11"/>
        <v>0.88665123775001309</v>
      </c>
      <c r="H45" s="779">
        <f t="shared" si="12"/>
        <v>0.87557203542482642</v>
      </c>
      <c r="J45" s="865" t="s">
        <v>949</v>
      </c>
    </row>
    <row r="46" spans="1:10">
      <c r="A46" s="528"/>
      <c r="B46" s="527"/>
      <c r="C46" s="25"/>
      <c r="D46" s="26"/>
      <c r="E46" s="527"/>
      <c r="F46" s="25"/>
      <c r="G46" s="25"/>
      <c r="H46" s="26"/>
    </row>
    <row r="47" spans="1:10">
      <c r="A47" s="528" t="s">
        <v>775</v>
      </c>
      <c r="B47" s="555">
        <f>SUMIFS(B42:B45,$E42:$E45,"Add")</f>
        <v>540</v>
      </c>
      <c r="C47" s="421">
        <f>SUMIFS(C42:C45,$E42:$E45,"Add")</f>
        <v>710</v>
      </c>
      <c r="D47" s="624">
        <f>SUMIFS(D42:D45,$E42:$E45,"Add")</f>
        <v>800</v>
      </c>
      <c r="E47" s="780" t="s">
        <v>38</v>
      </c>
      <c r="F47" s="25"/>
      <c r="G47" s="25"/>
      <c r="H47" s="26"/>
    </row>
    <row r="48" spans="1:10">
      <c r="A48" s="528" t="s">
        <v>747</v>
      </c>
      <c r="B48" s="744">
        <f>1-B47/MeanDomesticGasBill</f>
        <v>0.95397869803383994</v>
      </c>
      <c r="C48" s="37">
        <f>1-C47/MeanDomesticGasBill</f>
        <v>0.93949051037782649</v>
      </c>
      <c r="D48" s="641">
        <f>1-D47/MeanDomesticGasBill</f>
        <v>0.9318202933834665</v>
      </c>
      <c r="E48" s="527"/>
      <c r="F48" s="25"/>
      <c r="G48" s="25"/>
      <c r="H48" s="26"/>
    </row>
    <row r="49" spans="1:10">
      <c r="A49" s="528" t="s">
        <v>748</v>
      </c>
      <c r="B49" s="744">
        <f>PRODUCT(B48,F42:F45)</f>
        <v>0.80195414640045515</v>
      </c>
      <c r="C49" s="37">
        <f>PRODUCT(C48,G42:G45)</f>
        <v>0.70358924053229388</v>
      </c>
      <c r="D49" s="641">
        <f>PRODUCT(D48,H42:H45)</f>
        <v>0.63931296083918265</v>
      </c>
      <c r="E49" s="527"/>
      <c r="F49" s="25"/>
      <c r="G49" s="25"/>
      <c r="H49" s="26"/>
    </row>
    <row r="50" spans="1:10">
      <c r="A50" s="873" t="s">
        <v>937</v>
      </c>
      <c r="B50" s="875">
        <f>1-B49</f>
        <v>0.19804585359954485</v>
      </c>
      <c r="C50" s="876">
        <f t="shared" ref="C50" si="13">1-C49</f>
        <v>0.29641075946770612</v>
      </c>
      <c r="D50" s="876">
        <f t="shared" ref="D50" si="14">1-D49</f>
        <v>0.36068703916081735</v>
      </c>
      <c r="E50" s="780" t="s">
        <v>938</v>
      </c>
      <c r="F50" s="25"/>
      <c r="G50" s="25"/>
      <c r="H50" s="26"/>
    </row>
    <row r="51" spans="1:10">
      <c r="A51" s="599" t="s">
        <v>932</v>
      </c>
      <c r="B51" s="745">
        <f>ROUND(MeanDomesticGasBill*(1-B49)*gasPriceP/100,-1)</f>
        <v>240</v>
      </c>
      <c r="C51" s="642">
        <f>ROUND(MeanDomesticGasBill*(1-C49)*gasPriceP/100,-1)</f>
        <v>360</v>
      </c>
      <c r="D51" s="746">
        <f>ROUND(MeanDomesticGasBill*(1-D49)*gasPriceP/100,-1)</f>
        <v>440</v>
      </c>
      <c r="E51" s="781" t="s">
        <v>751</v>
      </c>
      <c r="F51" s="35"/>
      <c r="G51" s="35"/>
      <c r="H51" s="36"/>
    </row>
    <row r="53" spans="1:10">
      <c r="A53" s="19" t="s">
        <v>935</v>
      </c>
      <c r="B53" s="35"/>
      <c r="C53" s="25"/>
      <c r="D53" s="25"/>
      <c r="E53" s="35"/>
      <c r="F53" s="25"/>
      <c r="G53" s="25"/>
      <c r="H53" s="25"/>
    </row>
    <row r="54" spans="1:10">
      <c r="A54" s="864" t="s">
        <v>951</v>
      </c>
      <c r="B54" s="769">
        <f>INDEX(Summary!B$5:B$33,MATCH($J54,Summary!$A$5:$A$33,0))</f>
        <v>820</v>
      </c>
      <c r="C54" s="770">
        <f>INDEX(Summary!C$5:C$33,MATCH($J54,Summary!$A$5:$A$33,0))</f>
        <v>1270</v>
      </c>
      <c r="D54" s="771">
        <f>INDEX(Summary!D$5:D$33,MATCH($J54,Summary!$A$5:$A$33,0))</f>
        <v>1720</v>
      </c>
      <c r="E54" s="769" t="str">
        <f>INDEX(Summary!AJ$5:AJ$33,MATCH($J54,Summary!$A$5:$A$33,0))</f>
        <v>Multiply</v>
      </c>
      <c r="F54" s="772">
        <f t="shared" ref="F54:F57" si="15">IF($E54="Multiply",(1-B54/MeanDomesticGasBill),1)</f>
        <v>0.93011580071805322</v>
      </c>
      <c r="G54" s="772">
        <f t="shared" ref="G54:G57" si="16">IF($E54="Multiply",(1-C54/MeanDomesticGasBill),1)</f>
        <v>0.89176471574625316</v>
      </c>
      <c r="H54" s="773">
        <f t="shared" ref="H54:H57" si="17">IF($E54="Multiply",(1-D54/MeanDomesticGasBill),1)</f>
        <v>0.85341363077445309</v>
      </c>
      <c r="J54" s="865" t="s">
        <v>829</v>
      </c>
    </row>
    <row r="55" spans="1:10">
      <c r="A55" s="774" t="s">
        <v>621</v>
      </c>
      <c r="B55" s="775">
        <f>INDEX(Summary!B$5:B$33,MATCH($J55,Summary!$A$5:$A$33,0))</f>
        <v>290</v>
      </c>
      <c r="C55" s="776">
        <f>INDEX(Summary!C$5:C$33,MATCH($J55,Summary!$A$5:$A$33,0))</f>
        <v>620</v>
      </c>
      <c r="D55" s="777">
        <f>INDEX(Summary!D$5:D$33,MATCH($J55,Summary!$A$5:$A$33,0))</f>
        <v>960</v>
      </c>
      <c r="E55" s="775" t="str">
        <f>INDEX(Summary!AJ$5:AJ$33,MATCH($J55,Summary!$A$5:$A$33,0))</f>
        <v>Multiply</v>
      </c>
      <c r="F55" s="778">
        <f t="shared" si="15"/>
        <v>0.97528485635150663</v>
      </c>
      <c r="G55" s="778">
        <f t="shared" si="16"/>
        <v>0.94716072737218659</v>
      </c>
      <c r="H55" s="779">
        <f t="shared" si="17"/>
        <v>0.9181843520601598</v>
      </c>
      <c r="J55" s="865" t="s">
        <v>621</v>
      </c>
    </row>
    <row r="56" spans="1:10">
      <c r="A56" s="868" t="s">
        <v>929</v>
      </c>
      <c r="B56" s="775">
        <f>INDEX(Summary!B$5:B$33,MATCH($J56,Summary!$A$5:$A$33,0))</f>
        <v>540</v>
      </c>
      <c r="C56" s="776">
        <f>INDEX(Summary!C$5:C$33,MATCH($J56,Summary!$A$5:$A$33,0))</f>
        <v>710</v>
      </c>
      <c r="D56" s="777">
        <f>INDEX(Summary!D$5:D$33,MATCH($J56,Summary!$A$5:$A$33,0))</f>
        <v>800</v>
      </c>
      <c r="E56" s="775" t="str">
        <f>INDEX(Summary!AJ$5:AJ$33,MATCH($J56,Summary!$A$5:$A$33,0))</f>
        <v>Add</v>
      </c>
      <c r="F56" s="778">
        <f t="shared" si="15"/>
        <v>1</v>
      </c>
      <c r="G56" s="778">
        <f t="shared" si="16"/>
        <v>1</v>
      </c>
      <c r="H56" s="779">
        <f t="shared" si="17"/>
        <v>1</v>
      </c>
      <c r="J56" s="865" t="s">
        <v>809</v>
      </c>
    </row>
    <row r="57" spans="1:10">
      <c r="A57" s="774" t="s">
        <v>936</v>
      </c>
      <c r="B57" s="775">
        <f>INDEX(Summary!B$5:B$33,MATCH($J57,Summary!$A$5:$A$33,0))</f>
        <v>80</v>
      </c>
      <c r="C57" s="776">
        <f>INDEX(Summary!C$5:C$33,MATCH($J57,Summary!$A$5:$A$33,0))</f>
        <v>230</v>
      </c>
      <c r="D57" s="777">
        <f>INDEX(Summary!D$5:D$33,MATCH($J57,Summary!$A$5:$A$33,0))</f>
        <v>390</v>
      </c>
      <c r="E57" s="775" t="str">
        <f>INDEX(Summary!AJ$5:AJ$33,MATCH($J57,Summary!$A$5:$A$33,0))</f>
        <v>Add</v>
      </c>
      <c r="F57" s="778">
        <f t="shared" si="15"/>
        <v>1</v>
      </c>
      <c r="G57" s="778">
        <f t="shared" si="16"/>
        <v>1</v>
      </c>
      <c r="H57" s="779">
        <f t="shared" si="17"/>
        <v>1</v>
      </c>
      <c r="J57" s="865" t="s">
        <v>825</v>
      </c>
    </row>
    <row r="58" spans="1:10">
      <c r="A58" s="528"/>
      <c r="B58" s="527"/>
      <c r="C58" s="25"/>
      <c r="D58" s="26"/>
      <c r="E58" s="527"/>
      <c r="F58" s="25"/>
      <c r="G58" s="25"/>
      <c r="H58" s="26"/>
    </row>
    <row r="59" spans="1:10">
      <c r="A59" s="528" t="s">
        <v>775</v>
      </c>
      <c r="B59" s="555">
        <f>SUMIFS(B54:B57,$E54:$E57,"Add")</f>
        <v>620</v>
      </c>
      <c r="C59" s="421">
        <f>SUMIFS(C54:C57,$E54:$E57,"Add")</f>
        <v>940</v>
      </c>
      <c r="D59" s="624">
        <f>SUMIFS(D54:D57,$E54:$E57,"Add")</f>
        <v>1190</v>
      </c>
      <c r="E59" s="780" t="s">
        <v>38</v>
      </c>
      <c r="F59" s="25"/>
      <c r="G59" s="25"/>
      <c r="H59" s="26"/>
    </row>
    <row r="60" spans="1:10">
      <c r="A60" s="528" t="s">
        <v>747</v>
      </c>
      <c r="B60" s="744">
        <f>1-B59/MeanDomesticGasBill</f>
        <v>0.94716072737218659</v>
      </c>
      <c r="C60" s="37">
        <f>1-C59/MeanDomesticGasBill</f>
        <v>0.9198888447255732</v>
      </c>
      <c r="D60" s="641">
        <f>1-D59/MeanDomesticGasBill</f>
        <v>0.89858268640790651</v>
      </c>
      <c r="E60" s="527"/>
      <c r="F60" s="25"/>
      <c r="G60" s="25"/>
      <c r="H60" s="26"/>
    </row>
    <row r="61" spans="1:10">
      <c r="A61" s="528" t="s">
        <v>748</v>
      </c>
      <c r="B61" s="744">
        <f>PRODUCT(B60,F54:F57)</f>
        <v>0.85919587905000017</v>
      </c>
      <c r="C61" s="37">
        <f>PRODUCT(C60,G54:G57)</f>
        <v>0.77697906877312739</v>
      </c>
      <c r="D61" s="641">
        <f>PRODUCT(D60,H54:H57)</f>
        <v>0.70412134321683539</v>
      </c>
      <c r="E61" s="527"/>
      <c r="F61" s="25"/>
      <c r="G61" s="25"/>
      <c r="H61" s="26"/>
    </row>
    <row r="62" spans="1:10">
      <c r="A62" s="873" t="s">
        <v>937</v>
      </c>
      <c r="B62" s="875">
        <f>1-B61</f>
        <v>0.14080412094999983</v>
      </c>
      <c r="C62" s="876">
        <f t="shared" ref="C62" si="18">1-C61</f>
        <v>0.22302093122687261</v>
      </c>
      <c r="D62" s="876">
        <f t="shared" ref="D62" si="19">1-D61</f>
        <v>0.29587865678316461</v>
      </c>
      <c r="E62" s="780" t="s">
        <v>938</v>
      </c>
      <c r="F62" s="25"/>
      <c r="G62" s="25"/>
      <c r="H62" s="26"/>
    </row>
    <row r="63" spans="1:10">
      <c r="A63" s="599" t="s">
        <v>932</v>
      </c>
      <c r="B63" s="745">
        <f>ROUND(MeanDomesticGasBill*(1-B61)*gasPriceP/100,-1)</f>
        <v>170</v>
      </c>
      <c r="C63" s="642">
        <f>ROUND(MeanDomesticGasBill*(1-C61)*gasPriceP/100,-1)</f>
        <v>270</v>
      </c>
      <c r="D63" s="746">
        <f>ROUND(MeanDomesticGasBill*(1-D61)*gasPriceP/100,-1)</f>
        <v>360</v>
      </c>
      <c r="E63" s="781" t="s">
        <v>751</v>
      </c>
      <c r="F63" s="35"/>
      <c r="G63" s="35"/>
      <c r="H63" s="36"/>
    </row>
    <row r="64" spans="1:10" ht="34" customHeight="1"/>
    <row r="65" spans="1:8" ht="32.25" customHeight="1"/>
    <row r="67" spans="1:8">
      <c r="A67" s="790" t="s">
        <v>833</v>
      </c>
      <c r="B67" s="14"/>
      <c r="C67" s="14"/>
      <c r="D67" s="14"/>
      <c r="E67" s="14"/>
      <c r="F67" s="14"/>
      <c r="G67" s="14"/>
      <c r="H67" s="14"/>
    </row>
    <row r="68" spans="1:8" ht="32" customHeight="1">
      <c r="A68" s="905" t="s">
        <v>871</v>
      </c>
      <c r="B68" s="905"/>
      <c r="C68" s="905"/>
      <c r="D68" s="905"/>
      <c r="E68" s="905"/>
      <c r="F68" s="905"/>
      <c r="G68" s="905"/>
      <c r="H68" s="905"/>
    </row>
    <row r="69" spans="1:8" ht="31.5" customHeight="1">
      <c r="A69" s="905" t="s">
        <v>830</v>
      </c>
      <c r="B69" s="905"/>
      <c r="C69" s="905"/>
      <c r="D69" s="905"/>
      <c r="E69" s="905"/>
      <c r="F69" s="905"/>
      <c r="G69" s="905"/>
      <c r="H69" s="905"/>
    </row>
    <row r="70" spans="1:8">
      <c r="A70" s="14"/>
      <c r="B70" s="14"/>
      <c r="C70" s="14"/>
      <c r="D70" s="14"/>
      <c r="E70" s="14"/>
      <c r="F70" s="14"/>
      <c r="G70" s="14"/>
      <c r="H70" s="14"/>
    </row>
    <row r="71" spans="1:8">
      <c r="A71" s="790" t="s">
        <v>831</v>
      </c>
      <c r="B71" s="14"/>
      <c r="C71" s="14"/>
      <c r="D71" s="14"/>
      <c r="E71" s="14"/>
      <c r="F71" s="14"/>
      <c r="G71" s="14"/>
      <c r="H71" s="14"/>
    </row>
    <row r="72" spans="1:8">
      <c r="A72" s="14" t="s">
        <v>832</v>
      </c>
      <c r="B72" s="14"/>
      <c r="C72" s="14"/>
      <c r="D72" s="14"/>
      <c r="E72" s="14"/>
      <c r="F72" s="14"/>
      <c r="G72" s="14"/>
      <c r="H72" s="14"/>
    </row>
  </sheetData>
  <sheetProtection sheet="1" objects="1" scenarios="1"/>
  <mergeCells count="4">
    <mergeCell ref="B4:D4"/>
    <mergeCell ref="F4:H4"/>
    <mergeCell ref="A68:H68"/>
    <mergeCell ref="A69:H6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Y112"/>
  <sheetViews>
    <sheetView zoomScale="90" zoomScaleNormal="90" workbookViewId="0">
      <selection activeCell="A90" sqref="A90"/>
    </sheetView>
  </sheetViews>
  <sheetFormatPr baseColWidth="10" defaultColWidth="11" defaultRowHeight="16"/>
  <cols>
    <col min="1" max="1" width="68.83203125" style="6" customWidth="1"/>
    <col min="2" max="2" width="15.5" customWidth="1"/>
    <col min="3" max="3" width="13.5" customWidth="1"/>
    <col min="4" max="4" width="12.83203125" customWidth="1"/>
    <col min="8" max="8" width="17.33203125" customWidth="1"/>
    <col min="11" max="11" width="16.5" customWidth="1"/>
    <col min="20" max="20" width="20.33203125" customWidth="1"/>
  </cols>
  <sheetData>
    <row r="1" spans="1:25" ht="17">
      <c r="A1" s="17" t="s">
        <v>101</v>
      </c>
      <c r="B1" s="16"/>
      <c r="C1" s="16"/>
      <c r="D1" s="16"/>
      <c r="E1" s="16"/>
      <c r="F1" s="16"/>
      <c r="G1" s="16"/>
      <c r="H1" s="16"/>
    </row>
    <row r="2" spans="1:25" ht="68">
      <c r="A2" s="17" t="s">
        <v>796</v>
      </c>
      <c r="B2" s="16"/>
      <c r="C2" s="16"/>
      <c r="D2" s="16"/>
      <c r="E2" s="16"/>
      <c r="F2" s="16"/>
      <c r="G2" s="16"/>
      <c r="H2" s="16"/>
    </row>
    <row r="3" spans="1:25" ht="68">
      <c r="A3" s="47" t="s">
        <v>119</v>
      </c>
      <c r="E3" s="806" t="s">
        <v>490</v>
      </c>
      <c r="F3" s="846" t="s">
        <v>906</v>
      </c>
      <c r="G3" s="911" t="s">
        <v>904</v>
      </c>
      <c r="H3" s="911"/>
    </row>
    <row r="4" spans="1:25" ht="85" customHeight="1">
      <c r="A4" s="6" t="s">
        <v>797</v>
      </c>
      <c r="E4" s="807"/>
      <c r="F4" s="846" t="s">
        <v>907</v>
      </c>
      <c r="G4" s="911" t="s">
        <v>914</v>
      </c>
      <c r="H4" s="911"/>
    </row>
    <row r="5" spans="1:25" ht="133.5" customHeight="1">
      <c r="A5" s="47" t="s">
        <v>908</v>
      </c>
      <c r="E5" s="149"/>
      <c r="F5" s="807" t="s">
        <v>87</v>
      </c>
      <c r="G5" s="910" t="s">
        <v>905</v>
      </c>
      <c r="H5" s="910"/>
    </row>
    <row r="6" spans="1:25" ht="51">
      <c r="A6" s="47" t="s">
        <v>667</v>
      </c>
      <c r="E6" s="149"/>
      <c r="F6" s="54" t="s">
        <v>492</v>
      </c>
      <c r="G6" s="906" t="s">
        <v>491</v>
      </c>
      <c r="H6" s="906"/>
    </row>
    <row r="7" spans="1:25" ht="195" customHeight="1">
      <c r="A7" s="47" t="s">
        <v>913</v>
      </c>
    </row>
    <row r="8" spans="1:25" ht="136">
      <c r="A8" s="4" t="s">
        <v>880</v>
      </c>
      <c r="O8" t="s">
        <v>873</v>
      </c>
      <c r="Y8" t="s">
        <v>112</v>
      </c>
    </row>
    <row r="9" spans="1:25" ht="119">
      <c r="A9" s="4" t="s">
        <v>798</v>
      </c>
    </row>
    <row r="10" spans="1:25" ht="17">
      <c r="A10" s="459" t="s">
        <v>820</v>
      </c>
      <c r="B10" s="460"/>
      <c r="C10" s="460"/>
      <c r="D10" s="460"/>
      <c r="E10" s="460"/>
      <c r="F10" s="460"/>
      <c r="G10" s="460"/>
      <c r="H10" s="460"/>
      <c r="I10" s="460"/>
      <c r="J10" s="461"/>
    </row>
    <row r="11" spans="1:25" ht="51">
      <c r="A11" s="462" t="s">
        <v>27</v>
      </c>
      <c r="B11" s="342" t="s">
        <v>9</v>
      </c>
      <c r="C11" s="343" t="s">
        <v>113</v>
      </c>
      <c r="D11" s="342" t="s">
        <v>17</v>
      </c>
      <c r="E11" s="342" t="s">
        <v>20</v>
      </c>
      <c r="F11" s="343" t="s">
        <v>778</v>
      </c>
      <c r="G11" s="342" t="s">
        <v>23</v>
      </c>
      <c r="H11" s="342"/>
      <c r="I11" s="342"/>
      <c r="J11" s="463" t="s">
        <v>23</v>
      </c>
    </row>
    <row r="12" spans="1:25" ht="85">
      <c r="A12" s="344" t="s">
        <v>28</v>
      </c>
      <c r="B12" s="657" t="s">
        <v>16</v>
      </c>
      <c r="C12" s="656"/>
      <c r="D12" s="658" t="s">
        <v>29</v>
      </c>
      <c r="E12" s="659"/>
      <c r="F12" s="656"/>
      <c r="G12" s="660" t="s">
        <v>24</v>
      </c>
      <c r="H12" s="660" t="s">
        <v>25</v>
      </c>
      <c r="I12" s="661" t="s">
        <v>618</v>
      </c>
      <c r="J12" s="662" t="s">
        <v>26</v>
      </c>
      <c r="K12" s="44" t="s">
        <v>94</v>
      </c>
      <c r="L12" s="44" t="s">
        <v>111</v>
      </c>
      <c r="M12" s="44" t="s">
        <v>87</v>
      </c>
      <c r="N12" s="23" t="s">
        <v>9</v>
      </c>
      <c r="O12" s="23" t="s">
        <v>17</v>
      </c>
      <c r="P12" s="23" t="s">
        <v>31</v>
      </c>
      <c r="Q12" s="23" t="s">
        <v>752</v>
      </c>
    </row>
    <row r="13" spans="1:25" ht="17">
      <c r="A13" s="344" t="s">
        <v>122</v>
      </c>
      <c r="B13" s="527"/>
      <c r="D13" s="31"/>
      <c r="E13" s="25"/>
      <c r="G13" s="600">
        <v>0.84</v>
      </c>
      <c r="H13" s="600">
        <v>0.74</v>
      </c>
      <c r="I13" s="443">
        <v>0.2</v>
      </c>
      <c r="J13" s="556">
        <f>(G13-H13*I13)/(1-I13)</f>
        <v>0.86499999999999988</v>
      </c>
      <c r="K13" s="45"/>
      <c r="L13" s="45"/>
      <c r="M13" s="45"/>
      <c r="N13" s="23"/>
      <c r="O13" s="23"/>
      <c r="P13" s="23"/>
    </row>
    <row r="14" spans="1:25" ht="17">
      <c r="A14" s="345" t="s">
        <v>123</v>
      </c>
      <c r="B14" s="663">
        <v>0.89</v>
      </c>
      <c r="C14" s="33">
        <v>0.94</v>
      </c>
      <c r="J14" s="51"/>
      <c r="K14" s="45">
        <v>80</v>
      </c>
      <c r="L14" s="45">
        <v>60</v>
      </c>
      <c r="M14" s="45">
        <v>70</v>
      </c>
      <c r="N14" s="24">
        <f>B14</f>
        <v>0.89</v>
      </c>
      <c r="O14" s="24"/>
      <c r="P14" s="24"/>
    </row>
    <row r="15" spans="1:25" ht="17">
      <c r="A15" s="346" t="s">
        <v>124</v>
      </c>
      <c r="B15" s="664">
        <f>B$14+(B$17-B$14)*(M15-M$14)/(M$17-M$14)</f>
        <v>0.90159840425531912</v>
      </c>
      <c r="D15" s="33">
        <v>0.89</v>
      </c>
      <c r="E15" s="33">
        <v>0.87</v>
      </c>
      <c r="F15" s="419">
        <v>0.83</v>
      </c>
      <c r="G15" s="32"/>
      <c r="H15" s="32"/>
      <c r="I15" s="32"/>
      <c r="J15" s="26"/>
      <c r="K15" s="45">
        <v>75</v>
      </c>
      <c r="L15" s="45">
        <v>55</v>
      </c>
      <c r="M15" s="45">
        <v>65</v>
      </c>
      <c r="N15" s="24">
        <f>B15</f>
        <v>0.90159840425531912</v>
      </c>
      <c r="O15" s="24">
        <f t="shared" ref="O15:Q16" si="0">D15</f>
        <v>0.89</v>
      </c>
      <c r="P15" s="24">
        <f t="shared" si="0"/>
        <v>0.87</v>
      </c>
      <c r="Q15" s="45">
        <f t="shared" si="0"/>
        <v>0.83</v>
      </c>
    </row>
    <row r="16" spans="1:25" ht="17">
      <c r="A16" s="347" t="s">
        <v>125</v>
      </c>
      <c r="B16" s="664">
        <f>B$14+(B$17-B$14)*(M16-M$14)/(M$17-M$14)</f>
        <v>0.9294345744680852</v>
      </c>
      <c r="D16" s="33">
        <v>0.92</v>
      </c>
      <c r="E16" s="33">
        <v>0.92</v>
      </c>
      <c r="F16" s="419">
        <v>0.88</v>
      </c>
      <c r="G16" s="25"/>
      <c r="H16" s="25"/>
      <c r="I16" s="25"/>
      <c r="J16" s="26"/>
      <c r="K16" s="45">
        <v>60</v>
      </c>
      <c r="L16" s="45">
        <v>45</v>
      </c>
      <c r="M16" s="45">
        <v>53</v>
      </c>
      <c r="N16" s="24">
        <f>B16</f>
        <v>0.9294345744680852</v>
      </c>
      <c r="O16" s="24">
        <f t="shared" si="0"/>
        <v>0.92</v>
      </c>
      <c r="P16" s="24">
        <f t="shared" si="0"/>
        <v>0.92</v>
      </c>
      <c r="Q16" s="45">
        <f t="shared" si="0"/>
        <v>0.88</v>
      </c>
    </row>
    <row r="17" spans="1:17" ht="17">
      <c r="A17" s="345" t="s">
        <v>126</v>
      </c>
      <c r="B17" s="664">
        <f>C17/(C14/B14)</f>
        <v>0.93639361702127666</v>
      </c>
      <c r="C17" s="33">
        <v>0.98899999999999999</v>
      </c>
      <c r="D17" s="34"/>
      <c r="E17" s="34"/>
      <c r="F17" s="809">
        <f>AVERAGE(F16,F18)</f>
        <v>0.88500000000000001</v>
      </c>
      <c r="G17" s="25"/>
      <c r="H17" s="25"/>
      <c r="I17" s="25"/>
      <c r="J17" s="26"/>
      <c r="K17" s="45">
        <v>57</v>
      </c>
      <c r="L17" s="45">
        <v>43</v>
      </c>
      <c r="M17" s="45">
        <v>50</v>
      </c>
      <c r="N17" s="24">
        <f>B17</f>
        <v>0.93639361702127666</v>
      </c>
      <c r="O17" s="24">
        <f>O16+(O18-O16)*(($K17-$K16)/($K18-$K16))</f>
        <v>0.92600000000000005</v>
      </c>
      <c r="P17" s="24">
        <f>P16+(P18-P16)*(($K17-$K16)/($K18-$K16))</f>
        <v>0.92900000000000005</v>
      </c>
      <c r="Q17" s="45">
        <f>F17</f>
        <v>0.88500000000000001</v>
      </c>
    </row>
    <row r="18" spans="1:17" ht="17">
      <c r="A18" s="347" t="s">
        <v>127</v>
      </c>
      <c r="B18" s="664">
        <f>B$14+(B$17-B$14)*(M18-M$14)/(M$17-M$14)</f>
        <v>0.9410329787234043</v>
      </c>
      <c r="D18" s="33">
        <v>0.93</v>
      </c>
      <c r="E18" s="33">
        <v>0.93500000000000005</v>
      </c>
      <c r="F18" s="768">
        <v>0.89</v>
      </c>
      <c r="G18" s="25"/>
      <c r="H18" s="25"/>
      <c r="I18" s="25"/>
      <c r="J18" s="26"/>
      <c r="K18" s="45">
        <v>55</v>
      </c>
      <c r="L18" s="45">
        <v>40</v>
      </c>
      <c r="M18" s="45">
        <v>48</v>
      </c>
      <c r="N18" s="24">
        <f>B18</f>
        <v>0.9410329787234043</v>
      </c>
      <c r="O18" s="24">
        <f>D18</f>
        <v>0.93</v>
      </c>
      <c r="P18" s="24">
        <f>E18</f>
        <v>0.93500000000000005</v>
      </c>
      <c r="Q18" s="45">
        <f>F18</f>
        <v>0.89</v>
      </c>
    </row>
    <row r="19" spans="1:17">
      <c r="A19" s="348"/>
      <c r="B19" s="665"/>
      <c r="C19" s="8"/>
      <c r="D19" s="8"/>
      <c r="E19" s="8"/>
      <c r="F19" s="8"/>
      <c r="G19" s="35"/>
      <c r="H19" s="35"/>
      <c r="I19" s="35"/>
      <c r="J19" s="36"/>
    </row>
    <row r="20" spans="1:17">
      <c r="A20" s="10"/>
      <c r="B20" s="7"/>
      <c r="C20" s="7"/>
      <c r="D20" s="7"/>
    </row>
    <row r="21" spans="1:17" ht="17">
      <c r="A21" s="5" t="s">
        <v>912</v>
      </c>
    </row>
    <row r="22" spans="1:17" ht="51">
      <c r="A22" s="843" t="s">
        <v>872</v>
      </c>
      <c r="B22" s="797" t="s">
        <v>9</v>
      </c>
      <c r="C22" s="798" t="s">
        <v>17</v>
      </c>
      <c r="D22" s="798" t="s">
        <v>20</v>
      </c>
      <c r="E22" s="799" t="s">
        <v>752</v>
      </c>
    </row>
    <row r="23" spans="1:17" ht="17">
      <c r="A23" s="847" t="s">
        <v>120</v>
      </c>
      <c r="B23" s="800">
        <f>1-(B15/B16)</f>
        <v>2.9949574695665615E-2</v>
      </c>
      <c r="C23" s="801">
        <f>1-(D15/D16)</f>
        <v>3.2608695652173947E-2</v>
      </c>
      <c r="D23" s="801">
        <f>1-(E15/E16)</f>
        <v>5.4347826086956541E-2</v>
      </c>
      <c r="E23" s="802">
        <f>1-(F15/F16)</f>
        <v>5.6818181818181879E-2</v>
      </c>
    </row>
    <row r="24" spans="1:17" ht="17">
      <c r="A24" s="617" t="s">
        <v>121</v>
      </c>
      <c r="B24" s="803">
        <f>1-(B15/B18)</f>
        <v>4.1905624308280598E-2</v>
      </c>
      <c r="C24" s="804">
        <f>1-(D15/D18)</f>
        <v>4.3010752688172116E-2</v>
      </c>
      <c r="D24" s="804">
        <f>1-(E15/E18)</f>
        <v>6.9518716577540163E-2</v>
      </c>
      <c r="E24" s="805">
        <f>1-(F15/F18)</f>
        <v>6.7415730337078705E-2</v>
      </c>
    </row>
    <row r="25" spans="1:17" ht="17">
      <c r="A25" s="5" t="s">
        <v>30</v>
      </c>
    </row>
    <row r="26" spans="1:17" ht="34">
      <c r="A26" s="6" t="s">
        <v>915</v>
      </c>
    </row>
    <row r="27" spans="1:17" ht="17">
      <c r="A27" s="6" t="s">
        <v>577</v>
      </c>
    </row>
    <row r="29" spans="1:17" ht="17">
      <c r="A29" s="810" t="s">
        <v>916</v>
      </c>
      <c r="B29" s="743"/>
      <c r="C29" s="811"/>
      <c r="D29" s="811"/>
      <c r="E29" s="742"/>
    </row>
    <row r="30" spans="1:17" ht="34">
      <c r="A30" s="707" t="s">
        <v>875</v>
      </c>
      <c r="B30" s="707" t="s">
        <v>876</v>
      </c>
      <c r="C30" s="816" t="s">
        <v>877</v>
      </c>
      <c r="D30" s="816" t="s">
        <v>878</v>
      </c>
      <c r="E30" s="817" t="s">
        <v>879</v>
      </c>
    </row>
    <row r="31" spans="1:17">
      <c r="A31" s="732">
        <v>80</v>
      </c>
      <c r="B31" s="818">
        <v>47.82</v>
      </c>
      <c r="E31" s="812">
        <v>17.3</v>
      </c>
    </row>
    <row r="32" spans="1:17">
      <c r="A32" s="732">
        <v>75</v>
      </c>
      <c r="B32" s="819">
        <f>(B31+B33)/2</f>
        <v>46.594999999999999</v>
      </c>
      <c r="C32" s="277">
        <f>1-B32/B$31</f>
        <v>2.5616896695943137E-2</v>
      </c>
      <c r="E32" s="813">
        <f>(E31+E33)/2</f>
        <v>17.200000000000003</v>
      </c>
    </row>
    <row r="33" spans="1:8">
      <c r="A33" s="732">
        <v>70</v>
      </c>
      <c r="B33" s="818">
        <v>45.37</v>
      </c>
      <c r="C33" s="277">
        <f t="shared" ref="C33:C36" si="1">1-B33/B$31</f>
        <v>5.1233793391886273E-2</v>
      </c>
      <c r="D33" s="277">
        <f>1-(B33/B$32)</f>
        <v>2.6290374503702196E-2</v>
      </c>
      <c r="E33" s="812">
        <v>17.100000000000001</v>
      </c>
    </row>
    <row r="34" spans="1:8">
      <c r="A34" s="732">
        <v>65</v>
      </c>
      <c r="B34" s="819">
        <f>(B33+B35)/2</f>
        <v>43.704999999999998</v>
      </c>
      <c r="C34" s="277">
        <f t="shared" si="1"/>
        <v>8.6051861145964081E-2</v>
      </c>
      <c r="D34" s="277">
        <f t="shared" ref="D34:D36" si="2">1-(B34/B$32)</f>
        <v>6.2023822298529874E-2</v>
      </c>
      <c r="E34" s="813">
        <f>(E33+E35)/2</f>
        <v>16.950000000000003</v>
      </c>
    </row>
    <row r="35" spans="1:8">
      <c r="A35" s="732">
        <v>60</v>
      </c>
      <c r="B35" s="818">
        <v>42.04</v>
      </c>
      <c r="C35" s="277">
        <f t="shared" si="1"/>
        <v>0.12086992890004189</v>
      </c>
      <c r="D35" s="277">
        <f t="shared" si="2"/>
        <v>9.7757270093357662E-2</v>
      </c>
      <c r="E35" s="812">
        <v>16.8</v>
      </c>
    </row>
    <row r="36" spans="1:8">
      <c r="A36" s="814">
        <v>55</v>
      </c>
      <c r="B36" s="820">
        <v>40.130000000000003</v>
      </c>
      <c r="C36" s="279">
        <f t="shared" si="1"/>
        <v>0.16081137599330819</v>
      </c>
      <c r="D36" s="279">
        <f t="shared" si="2"/>
        <v>0.13874879278892582</v>
      </c>
      <c r="E36" s="815">
        <v>16.600000000000001</v>
      </c>
    </row>
    <row r="37" spans="1:8">
      <c r="A37" s="10"/>
      <c r="B37" s="7"/>
      <c r="C37" s="7"/>
      <c r="D37" s="7"/>
    </row>
    <row r="38" spans="1:8" ht="34">
      <c r="A38" s="810" t="s">
        <v>917</v>
      </c>
      <c r="B38" s="834" t="s">
        <v>921</v>
      </c>
      <c r="C38" s="834"/>
      <c r="D38" s="834"/>
      <c r="E38" s="835"/>
      <c r="F38" s="835"/>
      <c r="G38" s="835"/>
      <c r="H38" s="836"/>
    </row>
    <row r="39" spans="1:8" ht="34">
      <c r="A39" s="841" t="s">
        <v>920</v>
      </c>
      <c r="B39" s="851" t="s">
        <v>891</v>
      </c>
      <c r="C39" s="832" t="s">
        <v>892</v>
      </c>
      <c r="D39" s="832" t="s">
        <v>893</v>
      </c>
      <c r="E39" s="832" t="s">
        <v>894</v>
      </c>
      <c r="F39" s="832" t="s">
        <v>895</v>
      </c>
      <c r="G39" s="832" t="s">
        <v>896</v>
      </c>
      <c r="H39" s="833" t="s">
        <v>919</v>
      </c>
    </row>
    <row r="40" spans="1:8">
      <c r="A40" s="829"/>
      <c r="B40" s="828" t="s">
        <v>918</v>
      </c>
      <c r="C40" s="828"/>
      <c r="D40" s="828"/>
      <c r="E40" s="77"/>
      <c r="F40" s="77"/>
      <c r="G40" s="77"/>
      <c r="H40" s="733"/>
    </row>
    <row r="41" spans="1:8" ht="17">
      <c r="A41" s="830" t="s">
        <v>881</v>
      </c>
      <c r="B41" s="822">
        <v>16.957698269565292</v>
      </c>
      <c r="C41" s="823">
        <v>13.127659654813691</v>
      </c>
      <c r="D41" s="823">
        <v>9.8154966941716211</v>
      </c>
      <c r="E41" s="823">
        <v>8.2015761214620753</v>
      </c>
      <c r="F41" s="848">
        <f>(B41+D41)/2</f>
        <v>13.386597481868456</v>
      </c>
      <c r="G41" s="824">
        <f t="shared" ref="G41:G51" si="3">(C41+E41)/2</f>
        <v>10.664617888137883</v>
      </c>
      <c r="H41" s="825">
        <f>F41*0.66+G41*0.34</f>
        <v>12.461124420000061</v>
      </c>
    </row>
    <row r="42" spans="1:8" ht="17">
      <c r="A42" s="830" t="s">
        <v>882</v>
      </c>
      <c r="B42" s="818">
        <v>14</v>
      </c>
      <c r="C42" s="821">
        <v>16.7</v>
      </c>
      <c r="D42" s="821">
        <v>8.375</v>
      </c>
      <c r="E42" s="821">
        <v>9.7249999999999996</v>
      </c>
      <c r="F42" s="819">
        <f t="shared" ref="F42:F51" si="4">(B42+D42)/2</f>
        <v>11.1875</v>
      </c>
      <c r="G42" s="281">
        <f t="shared" si="3"/>
        <v>13.212499999999999</v>
      </c>
      <c r="H42" s="813">
        <f t="shared" ref="H42:H45" si="5">F42*0.66+G42*0.34</f>
        <v>11.875999999999999</v>
      </c>
    </row>
    <row r="43" spans="1:8" ht="17">
      <c r="A43" s="830" t="s">
        <v>883</v>
      </c>
      <c r="B43" s="818">
        <v>4.9715409191902369</v>
      </c>
      <c r="C43" s="821">
        <v>8.7524633286298492</v>
      </c>
      <c r="D43" s="821">
        <v>3.0297835917644895</v>
      </c>
      <c r="E43" s="821">
        <v>5.5248081480054294</v>
      </c>
      <c r="F43" s="819">
        <f t="shared" si="4"/>
        <v>4.000662255477363</v>
      </c>
      <c r="G43" s="281">
        <f t="shared" si="3"/>
        <v>7.1386357383176389</v>
      </c>
      <c r="H43" s="813">
        <f t="shared" si="5"/>
        <v>5.0675732396430568</v>
      </c>
    </row>
    <row r="44" spans="1:8" ht="17">
      <c r="A44" s="830" t="s">
        <v>884</v>
      </c>
      <c r="B44" s="818">
        <v>18.992865414136432</v>
      </c>
      <c r="C44" s="821">
        <v>21.876566446685771</v>
      </c>
      <c r="D44" s="821">
        <v>10.831448687070079</v>
      </c>
      <c r="E44" s="821">
        <v>13.864637745097063</v>
      </c>
      <c r="F44" s="819">
        <f t="shared" si="4"/>
        <v>14.912157050603255</v>
      </c>
      <c r="G44" s="281">
        <f t="shared" si="3"/>
        <v>17.870602095891417</v>
      </c>
      <c r="H44" s="813">
        <f t="shared" si="5"/>
        <v>15.918028366001231</v>
      </c>
    </row>
    <row r="45" spans="1:8" ht="17">
      <c r="A45" s="830" t="s">
        <v>885</v>
      </c>
      <c r="B45" s="818">
        <v>13.979897976413602</v>
      </c>
      <c r="C45" s="821">
        <v>5.266516928259378</v>
      </c>
      <c r="D45" s="821">
        <v>9.5161118543001155</v>
      </c>
      <c r="E45" s="821">
        <v>4.3186456282735621</v>
      </c>
      <c r="F45" s="819">
        <f t="shared" si="4"/>
        <v>11.748004915356859</v>
      </c>
      <c r="G45" s="281">
        <f t="shared" si="3"/>
        <v>4.7925812782664696</v>
      </c>
      <c r="H45" s="813">
        <f t="shared" si="5"/>
        <v>9.3831608787461267</v>
      </c>
    </row>
    <row r="46" spans="1:8" ht="17">
      <c r="A46" s="830" t="s">
        <v>897</v>
      </c>
      <c r="B46" s="820"/>
      <c r="C46" s="826"/>
      <c r="D46" s="826"/>
      <c r="E46" s="826"/>
      <c r="F46" s="849"/>
      <c r="G46" s="827"/>
      <c r="H46" s="837">
        <f>AVERAGE(H41:H45)</f>
        <v>10.941177380878093</v>
      </c>
    </row>
    <row r="47" spans="1:8" ht="17">
      <c r="A47" s="830" t="s">
        <v>886</v>
      </c>
      <c r="B47" s="822">
        <v>20.930581860382972</v>
      </c>
      <c r="C47" s="823">
        <v>18.501787079616008</v>
      </c>
      <c r="D47" s="823">
        <v>14.134328424220563</v>
      </c>
      <c r="E47" s="823">
        <v>13.883802522361648</v>
      </c>
      <c r="F47" s="848">
        <f t="shared" si="4"/>
        <v>17.532455142301767</v>
      </c>
      <c r="G47" s="824">
        <f t="shared" si="3"/>
        <v>16.192794800988828</v>
      </c>
      <c r="H47" s="813">
        <f t="shared" ref="H47:H51" si="6">F47*0.66+G47*0.34</f>
        <v>17.07697062625537</v>
      </c>
    </row>
    <row r="48" spans="1:8" ht="17">
      <c r="A48" s="830" t="s">
        <v>887</v>
      </c>
      <c r="B48" s="818">
        <v>18.5</v>
      </c>
      <c r="C48" s="821">
        <v>22.049999999999997</v>
      </c>
      <c r="D48" s="821">
        <v>13.149999999999999</v>
      </c>
      <c r="E48" s="821">
        <v>15.525</v>
      </c>
      <c r="F48" s="819">
        <f t="shared" si="4"/>
        <v>15.824999999999999</v>
      </c>
      <c r="G48" s="281">
        <f t="shared" si="3"/>
        <v>18.787499999999998</v>
      </c>
      <c r="H48" s="813">
        <f t="shared" si="6"/>
        <v>16.832249999999998</v>
      </c>
    </row>
    <row r="49" spans="1:8" ht="17">
      <c r="A49" s="830" t="s">
        <v>888</v>
      </c>
      <c r="B49" s="818">
        <v>6.9993939329010475</v>
      </c>
      <c r="C49" s="821">
        <v>11.383621327223389</v>
      </c>
      <c r="D49" s="821">
        <v>5.1508781579849199</v>
      </c>
      <c r="E49" s="821">
        <v>8.4181796589853572</v>
      </c>
      <c r="F49" s="819">
        <f t="shared" si="4"/>
        <v>6.0751360454429832</v>
      </c>
      <c r="G49" s="281">
        <f t="shared" si="3"/>
        <v>9.9009004931043734</v>
      </c>
      <c r="H49" s="813">
        <f t="shared" si="6"/>
        <v>7.375895957647856</v>
      </c>
    </row>
    <row r="50" spans="1:8" ht="17">
      <c r="A50" s="830" t="s">
        <v>889</v>
      </c>
      <c r="B50" s="818">
        <v>23.95267774158463</v>
      </c>
      <c r="C50" s="821">
        <v>28.037040296020336</v>
      </c>
      <c r="D50" s="821">
        <v>16.296147196656527</v>
      </c>
      <c r="E50" s="821">
        <v>20.657154085004649</v>
      </c>
      <c r="F50" s="819">
        <f t="shared" si="4"/>
        <v>20.124412469120578</v>
      </c>
      <c r="G50" s="281">
        <f t="shared" si="3"/>
        <v>24.347097190512493</v>
      </c>
      <c r="H50" s="813">
        <f t="shared" si="6"/>
        <v>21.56012527439383</v>
      </c>
    </row>
    <row r="51" spans="1:8" ht="17">
      <c r="A51" s="830" t="s">
        <v>890</v>
      </c>
      <c r="B51" s="818">
        <v>20.043042353155528</v>
      </c>
      <c r="C51" s="821">
        <v>9.0325560851752105</v>
      </c>
      <c r="D51" s="821">
        <v>15.893528210378477</v>
      </c>
      <c r="E51" s="821">
        <v>8.1276177111923484</v>
      </c>
      <c r="F51" s="819">
        <f t="shared" si="4"/>
        <v>17.968285281767002</v>
      </c>
      <c r="G51" s="281">
        <f t="shared" si="3"/>
        <v>8.5800868981837795</v>
      </c>
      <c r="H51" s="813">
        <f t="shared" si="6"/>
        <v>14.776297831348707</v>
      </c>
    </row>
    <row r="52" spans="1:8" ht="17">
      <c r="A52" s="831" t="s">
        <v>898</v>
      </c>
      <c r="B52" s="840"/>
      <c r="C52" s="838"/>
      <c r="D52" s="838"/>
      <c r="E52" s="839"/>
      <c r="F52" s="850"/>
      <c r="G52" s="409"/>
      <c r="H52" s="837">
        <f>AVERAGE(H47:H51)</f>
        <v>15.524307937929155</v>
      </c>
    </row>
    <row r="53" spans="1:8">
      <c r="A53" s="10"/>
      <c r="B53" s="7"/>
      <c r="C53" s="7"/>
      <c r="D53" s="7"/>
    </row>
    <row r="54" spans="1:8">
      <c r="A54" s="52"/>
      <c r="B54" s="37"/>
      <c r="C54" s="37"/>
      <c r="D54" s="37"/>
    </row>
    <row r="55" spans="1:8" ht="17">
      <c r="A55" s="844" t="s">
        <v>909</v>
      </c>
      <c r="B55" s="619" t="s">
        <v>41</v>
      </c>
      <c r="C55" s="620" t="s">
        <v>114</v>
      </c>
      <c r="D55" s="621" t="s">
        <v>43</v>
      </c>
    </row>
    <row r="56" spans="1:8" ht="17">
      <c r="A56" s="618" t="s">
        <v>911</v>
      </c>
      <c r="B56" s="48">
        <f>MIN(B23:E23)</f>
        <v>2.9949574695665615E-2</v>
      </c>
      <c r="C56" s="49">
        <f>AVERAGE(B23:E23)</f>
        <v>4.3431069563244495E-2</v>
      </c>
      <c r="D56" s="50">
        <f>MAX(B23:E23)</f>
        <v>5.6818181818181879E-2</v>
      </c>
      <c r="F56" s="14" t="s">
        <v>922</v>
      </c>
    </row>
    <row r="57" spans="1:8" ht="17">
      <c r="A57" s="617" t="s">
        <v>910</v>
      </c>
      <c r="B57" s="38">
        <f>MIN(B24:E24)</f>
        <v>4.1905624308280598E-2</v>
      </c>
      <c r="C57" s="39">
        <f>AVERAGE(B24:E24)</f>
        <v>5.5462705977767895E-2</v>
      </c>
      <c r="D57" s="40">
        <f>MAX(B24:E24)</f>
        <v>6.9518716577540163E-2</v>
      </c>
      <c r="F57" s="14"/>
    </row>
    <row r="58" spans="1:8" ht="17">
      <c r="A58" s="852" t="s">
        <v>941</v>
      </c>
      <c r="B58" s="37">
        <f>AVERAGE(B56,C58)</f>
        <v>6.3853422394511639E-2</v>
      </c>
      <c r="C58" s="37">
        <f>D35</f>
        <v>9.7757270093357662E-2</v>
      </c>
      <c r="D58" s="641">
        <f>C58*1.1</f>
        <v>0.10753299710269344</v>
      </c>
      <c r="F58" s="14" t="s">
        <v>923</v>
      </c>
    </row>
    <row r="59" spans="1:8" ht="17">
      <c r="A59" s="853" t="s">
        <v>942</v>
      </c>
      <c r="B59" s="39">
        <f>AVERAGE(B57,C59)</f>
        <v>9.0327208548603211E-2</v>
      </c>
      <c r="C59" s="39">
        <f>D36</f>
        <v>0.13874879278892582</v>
      </c>
      <c r="D59" s="40">
        <f>C59*1.1</f>
        <v>0.15262367206781841</v>
      </c>
      <c r="F59" s="14" t="s">
        <v>924</v>
      </c>
    </row>
    <row r="61" spans="1:8" ht="17">
      <c r="A61" s="17" t="s">
        <v>32</v>
      </c>
      <c r="B61" s="16"/>
      <c r="C61" s="16"/>
      <c r="D61" s="16"/>
      <c r="E61" s="16"/>
      <c r="F61" s="16"/>
      <c r="G61" s="16"/>
    </row>
    <row r="62" spans="1:8" ht="51">
      <c r="A62" s="6" t="s">
        <v>128</v>
      </c>
    </row>
    <row r="63" spans="1:8" ht="91">
      <c r="A63" s="6" t="s">
        <v>129</v>
      </c>
    </row>
    <row r="64" spans="1:8" ht="17">
      <c r="A64" s="11" t="s">
        <v>37</v>
      </c>
      <c r="B64" s="666">
        <f>MeanDomesticGasBill*gasBillPropSpace</f>
        <v>9566.9053699043889</v>
      </c>
      <c r="C64" t="s">
        <v>38</v>
      </c>
    </row>
    <row r="65" spans="1:7">
      <c r="B65" s="667"/>
    </row>
    <row r="66" spans="1:7">
      <c r="B66" s="667" t="s">
        <v>84</v>
      </c>
      <c r="E66" t="s">
        <v>85</v>
      </c>
    </row>
    <row r="67" spans="1:7" ht="17">
      <c r="A67" s="17" t="s">
        <v>448</v>
      </c>
      <c r="B67" s="668" t="s">
        <v>41</v>
      </c>
      <c r="C67" s="58" t="s">
        <v>103</v>
      </c>
      <c r="D67" s="58" t="s">
        <v>43</v>
      </c>
      <c r="E67" s="842" t="s">
        <v>41</v>
      </c>
      <c r="F67" s="58" t="s">
        <v>103</v>
      </c>
      <c r="G67" s="59" t="s">
        <v>43</v>
      </c>
    </row>
    <row r="68" spans="1:7" ht="17">
      <c r="A68" s="11" t="s">
        <v>899</v>
      </c>
      <c r="B68" s="338">
        <f t="shared" ref="B68:D69" si="7">$B$64*B56</f>
        <v>286.524746982316</v>
      </c>
      <c r="C68" s="339">
        <f t="shared" si="7"/>
        <v>415.50093262529481</v>
      </c>
      <c r="D68" s="339">
        <f t="shared" si="7"/>
        <v>543.57416874456817</v>
      </c>
      <c r="E68" s="670">
        <f t="shared" ref="E68:G69" si="8">B68*gasPriceP/100</f>
        <v>29.512048939178548</v>
      </c>
      <c r="F68" s="670">
        <f t="shared" si="8"/>
        <v>42.796596060405371</v>
      </c>
      <c r="G68" s="671">
        <f t="shared" si="8"/>
        <v>55.988139380690527</v>
      </c>
    </row>
    <row r="69" spans="1:7" ht="17">
      <c r="A69" s="11" t="s">
        <v>900</v>
      </c>
      <c r="B69" s="338">
        <f t="shared" si="7"/>
        <v>400.90714222408553</v>
      </c>
      <c r="C69" s="339">
        <f t="shared" si="7"/>
        <v>530.60645964813591</v>
      </c>
      <c r="D69" s="339">
        <f t="shared" si="7"/>
        <v>665.07898293453025</v>
      </c>
      <c r="E69" s="670">
        <f t="shared" si="8"/>
        <v>41.293435649080813</v>
      </c>
      <c r="F69" s="670">
        <f t="shared" si="8"/>
        <v>54.652465343758003</v>
      </c>
      <c r="G69" s="671">
        <f t="shared" si="8"/>
        <v>68.503135242256619</v>
      </c>
    </row>
    <row r="70" spans="1:7" ht="17">
      <c r="A70" s="11" t="s">
        <v>943</v>
      </c>
      <c r="B70" s="338">
        <f>$B$64*B58</f>
        <v>610.87964959282658</v>
      </c>
      <c r="C70" s="339">
        <f t="shared" ref="C70:D70" si="9">$B$64*C58</f>
        <v>935.2345522033371</v>
      </c>
      <c r="D70" s="339">
        <f t="shared" si="9"/>
        <v>1028.758007423671</v>
      </c>
      <c r="E70" s="670">
        <f t="shared" ref="E70:E71" si="10">B70*gasPriceP/100</f>
        <v>62.920603908061139</v>
      </c>
      <c r="F70" s="670">
        <f t="shared" ref="F70:F71" si="11">C70*gasPriceP/100</f>
        <v>96.329158876943723</v>
      </c>
      <c r="G70" s="671">
        <f t="shared" ref="G70:G71" si="12">D70*gasPriceP/100</f>
        <v>105.9620747646381</v>
      </c>
    </row>
    <row r="71" spans="1:7" ht="17">
      <c r="A71" s="11" t="s">
        <v>944</v>
      </c>
      <c r="B71" s="246">
        <f t="shared" ref="B71:D71" si="13">$B$64*B59</f>
        <v>864.15185651210572</v>
      </c>
      <c r="C71" s="263">
        <f t="shared" si="13"/>
        <v>1327.3965708001258</v>
      </c>
      <c r="D71" s="263">
        <f t="shared" si="13"/>
        <v>1460.1362278801384</v>
      </c>
      <c r="E71" s="673">
        <f t="shared" si="10"/>
        <v>89.007641220746905</v>
      </c>
      <c r="F71" s="673">
        <f t="shared" si="11"/>
        <v>136.72184679241298</v>
      </c>
      <c r="G71" s="674">
        <f t="shared" si="12"/>
        <v>150.39403147165427</v>
      </c>
    </row>
    <row r="72" spans="1:7">
      <c r="B72" s="1"/>
    </row>
    <row r="73" spans="1:7">
      <c r="B73" s="1"/>
    </row>
    <row r="74" spans="1:7" s="19" customFormat="1" ht="17">
      <c r="A74" s="17" t="s">
        <v>47</v>
      </c>
      <c r="B74" s="20"/>
      <c r="C74" s="20"/>
      <c r="D74" s="20"/>
      <c r="E74" s="20"/>
      <c r="F74" s="20"/>
      <c r="G74" s="20"/>
    </row>
    <row r="75" spans="1:7" ht="119">
      <c r="A75" s="47" t="s">
        <v>130</v>
      </c>
    </row>
    <row r="76" spans="1:7" ht="34">
      <c r="A76" s="6" t="s">
        <v>953</v>
      </c>
    </row>
    <row r="77" spans="1:7" ht="136">
      <c r="A77" s="6" t="s">
        <v>862</v>
      </c>
    </row>
    <row r="79" spans="1:7" ht="17">
      <c r="A79" s="654" t="s">
        <v>53</v>
      </c>
      <c r="B79" s="655">
        <f>propHomesGasHeating*(1-propGasRegular)</f>
        <v>0.56820583645863454</v>
      </c>
      <c r="C79" s="656"/>
      <c r="D79" s="65"/>
    </row>
    <row r="80" spans="1:7" ht="17">
      <c r="A80" s="349" t="s">
        <v>104</v>
      </c>
      <c r="B80" s="228">
        <v>4500000</v>
      </c>
      <c r="D80" s="51" t="s">
        <v>9</v>
      </c>
      <c r="E80" t="s">
        <v>15</v>
      </c>
    </row>
    <row r="81" spans="1:9" ht="17">
      <c r="A81" s="349" t="s">
        <v>105</v>
      </c>
      <c r="B81" s="292">
        <f>B80/(propHomesGasHeating*numberDwellingsUK)</f>
        <v>0.19128390179107357</v>
      </c>
      <c r="D81" s="51"/>
    </row>
    <row r="82" spans="1:9" ht="17">
      <c r="A82" s="350" t="s">
        <v>96</v>
      </c>
      <c r="B82" s="229">
        <v>0.1</v>
      </c>
      <c r="C82" s="8"/>
      <c r="D82" s="66" t="s">
        <v>97</v>
      </c>
      <c r="E82" s="21"/>
    </row>
    <row r="83" spans="1:9">
      <c r="B83" s="2"/>
      <c r="I83">
        <v>1</v>
      </c>
    </row>
    <row r="84" spans="1:9" s="13" customFormat="1" ht="102">
      <c r="A84" s="68" t="s">
        <v>845</v>
      </c>
      <c r="B84" s="490" t="s">
        <v>94</v>
      </c>
      <c r="C84" s="490" t="s">
        <v>848</v>
      </c>
      <c r="D84" s="490" t="s">
        <v>95</v>
      </c>
      <c r="E84" s="490" t="s">
        <v>849</v>
      </c>
    </row>
    <row r="85" spans="1:9">
      <c r="A85" s="9"/>
      <c r="B85" s="491">
        <v>75</v>
      </c>
      <c r="C85" s="786">
        <v>0.75</v>
      </c>
      <c r="D85" s="786">
        <v>0.94</v>
      </c>
      <c r="E85" s="786">
        <v>1</v>
      </c>
    </row>
    <row r="86" spans="1:9">
      <c r="A86" s="9"/>
      <c r="B86" s="491">
        <v>60</v>
      </c>
      <c r="C86" s="786">
        <v>0.64</v>
      </c>
      <c r="D86" s="786">
        <v>0.72</v>
      </c>
      <c r="E86" s="786">
        <v>0.8</v>
      </c>
    </row>
    <row r="87" spans="1:9">
      <c r="A87" s="22"/>
      <c r="B87" s="491">
        <v>55</v>
      </c>
      <c r="C87" s="786">
        <v>0.47</v>
      </c>
      <c r="D87" s="786">
        <v>0.53</v>
      </c>
      <c r="E87" s="786">
        <v>0.59</v>
      </c>
    </row>
    <row r="88" spans="1:9">
      <c r="B88" s="6"/>
      <c r="D88" s="2"/>
      <c r="E88" s="2"/>
    </row>
    <row r="89" spans="1:9">
      <c r="A89" s="53"/>
      <c r="B89" s="60" t="s">
        <v>41</v>
      </c>
      <c r="C89" s="58" t="s">
        <v>103</v>
      </c>
      <c r="D89" s="59" t="s">
        <v>43</v>
      </c>
    </row>
    <row r="90" spans="1:9" ht="17">
      <c r="A90" s="11" t="s">
        <v>131</v>
      </c>
      <c r="B90" s="61">
        <v>0.8</v>
      </c>
      <c r="C90" s="55">
        <v>0.9</v>
      </c>
      <c r="D90" s="62">
        <v>1</v>
      </c>
      <c r="E90" t="s">
        <v>133</v>
      </c>
    </row>
    <row r="91" spans="1:9" ht="17">
      <c r="A91" s="11" t="s">
        <v>836</v>
      </c>
      <c r="B91" s="442">
        <f>B79*0.96</f>
        <v>0.54547760300028914</v>
      </c>
      <c r="C91" s="443">
        <f>B79*0.98</f>
        <v>0.55684171972946184</v>
      </c>
      <c r="D91" s="62">
        <f>B79</f>
        <v>0.56820583645863454</v>
      </c>
      <c r="E91" t="s">
        <v>478</v>
      </c>
    </row>
    <row r="92" spans="1:9" ht="17">
      <c r="A92" s="11" t="s">
        <v>48</v>
      </c>
      <c r="B92" s="331">
        <f t="shared" ref="B92:D93" si="14">C86</f>
        <v>0.64</v>
      </c>
      <c r="C92" s="332">
        <f t="shared" si="14"/>
        <v>0.72</v>
      </c>
      <c r="D92" s="333">
        <f t="shared" si="14"/>
        <v>0.8</v>
      </c>
      <c r="E92" t="s">
        <v>850</v>
      </c>
    </row>
    <row r="93" spans="1:9" ht="17">
      <c r="A93" s="337" t="s">
        <v>109</v>
      </c>
      <c r="B93" s="331">
        <f t="shared" si="14"/>
        <v>0.47</v>
      </c>
      <c r="C93" s="332">
        <f t="shared" si="14"/>
        <v>0.53</v>
      </c>
      <c r="D93" s="333">
        <f t="shared" si="14"/>
        <v>0.59</v>
      </c>
      <c r="E93" t="s">
        <v>835</v>
      </c>
    </row>
    <row r="94" spans="1:9" ht="17">
      <c r="A94" s="337" t="s">
        <v>758</v>
      </c>
      <c r="B94" s="442">
        <v>0.3</v>
      </c>
      <c r="C94" s="443">
        <v>0.25</v>
      </c>
      <c r="D94" s="444">
        <v>0.2</v>
      </c>
      <c r="E94" t="s">
        <v>133</v>
      </c>
    </row>
    <row r="95" spans="1:9" ht="17">
      <c r="A95" s="337" t="s">
        <v>759</v>
      </c>
      <c r="B95" s="442">
        <v>0.5</v>
      </c>
      <c r="C95" s="443">
        <v>0.4</v>
      </c>
      <c r="D95" s="444">
        <v>0.3</v>
      </c>
      <c r="E95" t="s">
        <v>133</v>
      </c>
    </row>
    <row r="96" spans="1:9" ht="17">
      <c r="A96" s="11" t="s">
        <v>49</v>
      </c>
      <c r="B96" s="334">
        <f t="shared" ref="B96:D97" si="15">1-$B$81*B94</f>
        <v>0.94261482946267794</v>
      </c>
      <c r="C96" s="335">
        <f t="shared" si="15"/>
        <v>0.95217902455223158</v>
      </c>
      <c r="D96" s="336">
        <f t="shared" si="15"/>
        <v>0.96174321964178533</v>
      </c>
    </row>
    <row r="97" spans="1:20" ht="17">
      <c r="A97" s="337" t="s">
        <v>110</v>
      </c>
      <c r="B97" s="334">
        <f t="shared" si="15"/>
        <v>0.90435804910446316</v>
      </c>
      <c r="C97" s="335">
        <f t="shared" si="15"/>
        <v>0.92348643928357055</v>
      </c>
      <c r="D97" s="336">
        <f t="shared" si="15"/>
        <v>0.94261482946267794</v>
      </c>
    </row>
    <row r="98" spans="1:20">
      <c r="B98" s="63"/>
      <c r="C98" s="56"/>
      <c r="D98" s="64"/>
    </row>
    <row r="99" spans="1:20" ht="17">
      <c r="A99" s="337" t="s">
        <v>115</v>
      </c>
      <c r="B99" s="331">
        <f>B91*B92*B96</f>
        <v>0.32907217774580982</v>
      </c>
      <c r="C99" s="332">
        <f>C91*C92*C96</f>
        <v>0.38175336397582998</v>
      </c>
      <c r="D99" s="333">
        <f>D91*D92*D96</f>
        <v>0.43717448845998474</v>
      </c>
      <c r="E99" s="14" t="s">
        <v>810</v>
      </c>
    </row>
    <row r="100" spans="1:20" ht="17">
      <c r="A100" s="337" t="s">
        <v>118</v>
      </c>
      <c r="B100" s="331">
        <f>B91*B93*B97</f>
        <v>0.23185431861337452</v>
      </c>
      <c r="C100" s="332">
        <f>C91*C93*C97</f>
        <v>0.27254496180867532</v>
      </c>
      <c r="D100" s="333">
        <f>D91*D93*D97</f>
        <v>0.3160035561035609</v>
      </c>
      <c r="E100" s="14" t="s">
        <v>810</v>
      </c>
    </row>
    <row r="101" spans="1:20" ht="17">
      <c r="A101" s="337" t="s">
        <v>116</v>
      </c>
      <c r="B101" s="338">
        <f t="shared" ref="B101:D102" si="16">numberHomesGasHeating*B68*B99/1000000</f>
        <v>2218.1320389801899</v>
      </c>
      <c r="C101" s="339">
        <f t="shared" si="16"/>
        <v>3731.5474420906744</v>
      </c>
      <c r="D101" s="340">
        <f t="shared" si="16"/>
        <v>5590.4621675500512</v>
      </c>
      <c r="E101" t="s">
        <v>45</v>
      </c>
    </row>
    <row r="102" spans="1:20" ht="17">
      <c r="A102" s="337" t="s">
        <v>117</v>
      </c>
      <c r="B102" s="246">
        <f t="shared" si="16"/>
        <v>2186.719485422595</v>
      </c>
      <c r="C102" s="263">
        <f t="shared" si="16"/>
        <v>3402.0820448960421</v>
      </c>
      <c r="D102" s="264">
        <f t="shared" si="16"/>
        <v>4944.2370621951841</v>
      </c>
      <c r="E102" t="s">
        <v>45</v>
      </c>
    </row>
    <row r="103" spans="1:20">
      <c r="B103" s="25"/>
      <c r="C103" s="25"/>
      <c r="D103" s="25"/>
    </row>
    <row r="106" spans="1:20" s="19" customFormat="1" ht="17">
      <c r="A106" s="17" t="s">
        <v>354</v>
      </c>
      <c r="B106" s="907" t="s">
        <v>682</v>
      </c>
      <c r="C106" s="908"/>
      <c r="D106" s="908"/>
      <c r="E106" s="908"/>
      <c r="F106" s="908"/>
      <c r="G106" s="908"/>
      <c r="H106" s="908"/>
      <c r="I106" s="908"/>
      <c r="J106" s="909"/>
      <c r="K106" s="907" t="s">
        <v>689</v>
      </c>
      <c r="L106" s="908"/>
      <c r="M106" s="908"/>
      <c r="N106" s="908"/>
      <c r="O106" s="908"/>
      <c r="P106" s="908"/>
      <c r="Q106" s="908"/>
      <c r="R106" s="908"/>
      <c r="S106" s="909"/>
      <c r="T106" s="551" t="s">
        <v>684</v>
      </c>
    </row>
    <row r="107" spans="1:20">
      <c r="A107" s="11"/>
      <c r="B107" s="171" t="s">
        <v>308</v>
      </c>
      <c r="C107" s="172"/>
      <c r="D107" s="174"/>
      <c r="E107" s="171" t="s">
        <v>352</v>
      </c>
      <c r="F107" s="172"/>
      <c r="G107" s="174"/>
      <c r="H107" s="520" t="s">
        <v>353</v>
      </c>
      <c r="I107" s="521"/>
      <c r="J107" s="522"/>
      <c r="K107" s="171" t="s">
        <v>308</v>
      </c>
      <c r="L107" s="172"/>
      <c r="M107" s="174"/>
      <c r="N107" s="171" t="s">
        <v>352</v>
      </c>
      <c r="O107" s="172"/>
      <c r="P107" s="174"/>
      <c r="Q107" s="520" t="s">
        <v>353</v>
      </c>
      <c r="R107" s="521"/>
      <c r="S107" s="522"/>
      <c r="T107" s="855"/>
    </row>
    <row r="108" spans="1:20" ht="17">
      <c r="A108" s="225" t="s">
        <v>622</v>
      </c>
      <c r="B108" s="450" t="s">
        <v>41</v>
      </c>
      <c r="C108" s="224" t="s">
        <v>42</v>
      </c>
      <c r="D108" s="46" t="s">
        <v>43</v>
      </c>
      <c r="E108" s="450" t="s">
        <v>41</v>
      </c>
      <c r="F108" s="224" t="s">
        <v>42</v>
      </c>
      <c r="G108" s="46" t="s">
        <v>43</v>
      </c>
      <c r="H108" s="450" t="s">
        <v>41</v>
      </c>
      <c r="I108" s="224" t="s">
        <v>42</v>
      </c>
      <c r="J108" s="46" t="s">
        <v>43</v>
      </c>
      <c r="K108" s="450" t="s">
        <v>41</v>
      </c>
      <c r="L108" s="224" t="s">
        <v>42</v>
      </c>
      <c r="M108" s="46" t="s">
        <v>43</v>
      </c>
      <c r="N108" s="450" t="s">
        <v>41</v>
      </c>
      <c r="O108" s="224" t="s">
        <v>42</v>
      </c>
      <c r="P108" s="46" t="s">
        <v>43</v>
      </c>
      <c r="Q108" s="450" t="s">
        <v>41</v>
      </c>
      <c r="R108" s="224" t="s">
        <v>42</v>
      </c>
      <c r="S108" s="46" t="s">
        <v>43</v>
      </c>
      <c r="T108" s="161"/>
    </row>
    <row r="109" spans="1:20">
      <c r="A109" s="854" t="s">
        <v>946</v>
      </c>
      <c r="B109" s="555">
        <f>B68</f>
        <v>286.524746982316</v>
      </c>
      <c r="C109" s="421">
        <f>C68</f>
        <v>415.50093262529481</v>
      </c>
      <c r="D109" s="624">
        <f>D68</f>
        <v>543.57416874456817</v>
      </c>
      <c r="E109" s="527">
        <v>0</v>
      </c>
      <c r="F109" s="25">
        <v>0</v>
      </c>
      <c r="G109" s="26">
        <v>0</v>
      </c>
      <c r="H109" s="527">
        <v>0</v>
      </c>
      <c r="I109" s="25">
        <v>0</v>
      </c>
      <c r="J109" s="26">
        <v>0</v>
      </c>
      <c r="K109" s="555">
        <f t="shared" ref="K109:M110" si="17">B99*numberDwellingsUK/1000</f>
        <v>9264.6385301913579</v>
      </c>
      <c r="L109" s="421">
        <f t="shared" si="17"/>
        <v>10747.815112016637</v>
      </c>
      <c r="M109" s="624">
        <f t="shared" si="17"/>
        <v>12308.131419519999</v>
      </c>
      <c r="N109" s="527">
        <v>0</v>
      </c>
      <c r="O109" s="25">
        <v>0</v>
      </c>
      <c r="P109" s="26">
        <v>0</v>
      </c>
      <c r="Q109" s="527">
        <v>0</v>
      </c>
      <c r="R109" s="25">
        <v>0</v>
      </c>
      <c r="S109" s="26">
        <v>0</v>
      </c>
      <c r="T109" s="856" t="s">
        <v>301</v>
      </c>
    </row>
    <row r="110" spans="1:20">
      <c r="A110" s="854" t="s">
        <v>947</v>
      </c>
      <c r="B110" s="555">
        <f t="shared" ref="B110:D110" si="18">B69</f>
        <v>400.90714222408553</v>
      </c>
      <c r="C110" s="421">
        <f t="shared" si="18"/>
        <v>530.60645964813591</v>
      </c>
      <c r="D110" s="624">
        <f t="shared" si="18"/>
        <v>665.07898293453025</v>
      </c>
      <c r="E110" s="527">
        <v>0</v>
      </c>
      <c r="F110" s="25">
        <v>0</v>
      </c>
      <c r="G110" s="26">
        <v>0</v>
      </c>
      <c r="H110" s="527">
        <v>0</v>
      </c>
      <c r="I110" s="25">
        <v>0</v>
      </c>
      <c r="J110" s="26">
        <v>0</v>
      </c>
      <c r="K110" s="555">
        <f t="shared" si="17"/>
        <v>6527.5845206092772</v>
      </c>
      <c r="L110" s="421">
        <f t="shared" si="17"/>
        <v>7673.181524123358</v>
      </c>
      <c r="M110" s="624">
        <f t="shared" si="17"/>
        <v>8896.7069218959987</v>
      </c>
      <c r="N110" s="527">
        <v>0</v>
      </c>
      <c r="O110" s="25">
        <v>0</v>
      </c>
      <c r="P110" s="26">
        <v>0</v>
      </c>
      <c r="Q110" s="527">
        <v>0</v>
      </c>
      <c r="R110" s="25">
        <v>0</v>
      </c>
      <c r="S110" s="26">
        <v>0</v>
      </c>
      <c r="T110" s="856" t="s">
        <v>301</v>
      </c>
    </row>
    <row r="111" spans="1:20">
      <c r="A111" s="854" t="s">
        <v>948</v>
      </c>
      <c r="B111" s="555">
        <f t="shared" ref="B111:D111" si="19">B70</f>
        <v>610.87964959282658</v>
      </c>
      <c r="C111" s="421">
        <f t="shared" si="19"/>
        <v>935.2345522033371</v>
      </c>
      <c r="D111" s="624">
        <f t="shared" si="19"/>
        <v>1028.758007423671</v>
      </c>
      <c r="E111" s="527">
        <v>0</v>
      </c>
      <c r="F111" s="25">
        <v>0</v>
      </c>
      <c r="G111" s="26">
        <v>0</v>
      </c>
      <c r="H111" s="527">
        <v>0</v>
      </c>
      <c r="I111" s="25">
        <v>0</v>
      </c>
      <c r="J111" s="26">
        <v>0</v>
      </c>
      <c r="K111" s="555">
        <f t="shared" ref="K111:M112" si="20">B99*numberDwellingsUK/1000</f>
        <v>9264.6385301913579</v>
      </c>
      <c r="L111" s="421">
        <f t="shared" si="20"/>
        <v>10747.815112016637</v>
      </c>
      <c r="M111" s="624">
        <f t="shared" si="20"/>
        <v>12308.131419519999</v>
      </c>
      <c r="N111" s="527">
        <v>0</v>
      </c>
      <c r="O111" s="25">
        <v>0</v>
      </c>
      <c r="P111" s="26">
        <v>0</v>
      </c>
      <c r="Q111" s="527">
        <v>0</v>
      </c>
      <c r="R111" s="25">
        <v>0</v>
      </c>
      <c r="S111" s="26">
        <v>0</v>
      </c>
      <c r="T111" s="857" t="s">
        <v>945</v>
      </c>
    </row>
    <row r="112" spans="1:20">
      <c r="A112" s="854" t="s">
        <v>949</v>
      </c>
      <c r="B112" s="604">
        <f t="shared" ref="B112:D112" si="21">B71</f>
        <v>864.15185651210572</v>
      </c>
      <c r="C112" s="605">
        <f t="shared" si="21"/>
        <v>1327.3965708001258</v>
      </c>
      <c r="D112" s="629">
        <f t="shared" si="21"/>
        <v>1460.1362278801384</v>
      </c>
      <c r="E112" s="628">
        <v>0</v>
      </c>
      <c r="F112" s="35">
        <v>0</v>
      </c>
      <c r="G112" s="36">
        <v>0</v>
      </c>
      <c r="H112" s="628">
        <v>0</v>
      </c>
      <c r="I112" s="35">
        <v>0</v>
      </c>
      <c r="J112" s="36">
        <v>0</v>
      </c>
      <c r="K112" s="604">
        <f t="shared" si="20"/>
        <v>6527.5845206092772</v>
      </c>
      <c r="L112" s="605">
        <f t="shared" si="20"/>
        <v>7673.181524123358</v>
      </c>
      <c r="M112" s="629">
        <f t="shared" si="20"/>
        <v>8896.7069218959987</v>
      </c>
      <c r="N112" s="628">
        <v>0</v>
      </c>
      <c r="O112" s="35">
        <v>0</v>
      </c>
      <c r="P112" s="36">
        <v>0</v>
      </c>
      <c r="Q112" s="628">
        <v>0</v>
      </c>
      <c r="R112" s="35">
        <v>0</v>
      </c>
      <c r="S112" s="36">
        <v>0</v>
      </c>
      <c r="T112" s="857" t="s">
        <v>945</v>
      </c>
    </row>
  </sheetData>
  <sheetProtection sheet="1" objects="1" scenarios="1"/>
  <mergeCells count="6">
    <mergeCell ref="G6:H6"/>
    <mergeCell ref="B106:J106"/>
    <mergeCell ref="K106:S106"/>
    <mergeCell ref="G5:H5"/>
    <mergeCell ref="G3:H3"/>
    <mergeCell ref="G4:H4"/>
  </mergeCells>
  <pageMargins left="0.7" right="0.7" top="0.75" bottom="0.75" header="0.3" footer="0.3"/>
  <pageSetup paperSize="9" orientation="portrait" r:id="rId1"/>
  <ignoredErrors>
    <ignoredError sqref="B17" formula="1"/>
    <ignoredError sqref="A42"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T65"/>
  <sheetViews>
    <sheetView topLeftCell="A45" workbookViewId="0">
      <selection activeCell="A47" sqref="A47"/>
    </sheetView>
  </sheetViews>
  <sheetFormatPr baseColWidth="10" defaultColWidth="10.5" defaultRowHeight="16"/>
  <cols>
    <col min="1" max="1" width="49.33203125" customWidth="1"/>
    <col min="2" max="2" width="12" bestFit="1" customWidth="1"/>
    <col min="3" max="3" width="13.5" bestFit="1" customWidth="1"/>
    <col min="6" max="6" width="20.33203125" bestFit="1" customWidth="1"/>
    <col min="11" max="11" width="14.5" customWidth="1"/>
    <col min="20" max="20" width="19.5" customWidth="1"/>
  </cols>
  <sheetData>
    <row r="1" spans="1:11" ht="17">
      <c r="A1" s="17" t="s">
        <v>159</v>
      </c>
      <c r="B1" s="16"/>
      <c r="C1" s="16"/>
      <c r="D1" s="16"/>
      <c r="E1" s="16"/>
      <c r="F1" s="16"/>
      <c r="G1" s="16"/>
      <c r="H1" s="16"/>
      <c r="I1" s="16"/>
      <c r="J1" s="16"/>
    </row>
    <row r="2" spans="1:11" ht="34">
      <c r="A2" s="17" t="s">
        <v>656</v>
      </c>
      <c r="B2" s="16"/>
      <c r="C2" s="16"/>
      <c r="D2" s="16"/>
      <c r="E2" s="16"/>
      <c r="F2" s="16"/>
      <c r="G2" s="16"/>
      <c r="H2" s="16"/>
      <c r="I2" s="16"/>
      <c r="J2" s="16"/>
    </row>
    <row r="3" spans="1:11" ht="102">
      <c r="A3" s="13" t="s">
        <v>361</v>
      </c>
    </row>
    <row r="4" spans="1:11" ht="68">
      <c r="A4" s="13" t="s">
        <v>502</v>
      </c>
    </row>
    <row r="5" spans="1:11" ht="102">
      <c r="A5" s="13" t="s">
        <v>503</v>
      </c>
    </row>
    <row r="6" spans="1:11" ht="153">
      <c r="A6" s="13" t="s">
        <v>534</v>
      </c>
    </row>
    <row r="7" spans="1:11" ht="136">
      <c r="A7" s="13" t="s">
        <v>269</v>
      </c>
    </row>
    <row r="8" spans="1:11" ht="187">
      <c r="A8" s="13" t="s">
        <v>613</v>
      </c>
    </row>
    <row r="9" spans="1:11">
      <c r="A9" s="13"/>
    </row>
    <row r="10" spans="1:11">
      <c r="A10" s="395" t="s">
        <v>563</v>
      </c>
    </row>
    <row r="11" spans="1:11" ht="17">
      <c r="A11" s="17" t="s">
        <v>473</v>
      </c>
      <c r="B11" s="240" t="s">
        <v>470</v>
      </c>
      <c r="C11" s="238"/>
      <c r="D11" s="120"/>
      <c r="E11" s="240" t="s">
        <v>471</v>
      </c>
      <c r="F11" s="238"/>
      <c r="G11" s="120"/>
      <c r="H11" s="266" t="s">
        <v>472</v>
      </c>
      <c r="I11" s="238"/>
      <c r="J11" s="120"/>
    </row>
    <row r="12" spans="1:11">
      <c r="A12" s="16"/>
      <c r="B12" s="196" t="s">
        <v>41</v>
      </c>
      <c r="C12" s="242" t="s">
        <v>42</v>
      </c>
      <c r="D12" s="243" t="s">
        <v>43</v>
      </c>
      <c r="E12" s="196" t="s">
        <v>41</v>
      </c>
      <c r="F12" s="242" t="s">
        <v>42</v>
      </c>
      <c r="G12" s="243" t="s">
        <v>43</v>
      </c>
      <c r="H12" s="219" t="s">
        <v>41</v>
      </c>
      <c r="I12" s="242" t="s">
        <v>42</v>
      </c>
      <c r="J12" s="243" t="s">
        <v>43</v>
      </c>
    </row>
    <row r="13" spans="1:11" ht="17">
      <c r="A13" s="18" t="s">
        <v>308</v>
      </c>
      <c r="B13" s="313">
        <v>1.32E-2</v>
      </c>
      <c r="C13" s="312">
        <v>1.5900000000000001E-2</v>
      </c>
      <c r="D13" s="314">
        <v>1.9199999999999998E-2</v>
      </c>
      <c r="E13" s="313">
        <v>8.9999999999999993E-3</v>
      </c>
      <c r="F13" s="312">
        <v>1.15E-2</v>
      </c>
      <c r="G13" s="314">
        <v>1.5100000000000001E-2</v>
      </c>
      <c r="H13" s="397">
        <v>9.7999999999999997E-3</v>
      </c>
      <c r="I13" s="397">
        <v>1.26E-2</v>
      </c>
      <c r="J13" s="398">
        <v>1.66E-2</v>
      </c>
    </row>
    <row r="14" spans="1:11" ht="17">
      <c r="A14" s="18" t="s">
        <v>352</v>
      </c>
      <c r="B14" s="313">
        <v>1.8700000000000001E-2</v>
      </c>
      <c r="C14" s="312">
        <v>2.12E-2</v>
      </c>
      <c r="D14" s="314">
        <v>2.52E-2</v>
      </c>
      <c r="E14" s="313">
        <v>1.17E-2</v>
      </c>
      <c r="F14" s="312">
        <v>1.47E-2</v>
      </c>
      <c r="G14" s="314">
        <v>1.8599999999999998E-2</v>
      </c>
      <c r="H14" s="397">
        <v>1.3100000000000001E-2</v>
      </c>
      <c r="I14" s="397">
        <v>1.6899999999999998E-2</v>
      </c>
      <c r="J14" s="398">
        <v>2.1700000000000001E-2</v>
      </c>
    </row>
    <row r="15" spans="1:11" ht="17">
      <c r="A15" s="18" t="s">
        <v>202</v>
      </c>
      <c r="B15" s="315">
        <v>1E-3</v>
      </c>
      <c r="C15" s="316">
        <v>1.6999999999999999E-3</v>
      </c>
      <c r="D15" s="317">
        <v>2E-3</v>
      </c>
      <c r="E15" s="315">
        <v>5.9999999999999995E-4</v>
      </c>
      <c r="F15" s="316">
        <v>1E-3</v>
      </c>
      <c r="G15" s="317">
        <v>1.1000000000000001E-3</v>
      </c>
      <c r="H15" s="399">
        <v>6.9999999999999999E-4</v>
      </c>
      <c r="I15" s="399">
        <v>1.1000000000000001E-3</v>
      </c>
      <c r="J15" s="400">
        <v>1.2999999999999999E-3</v>
      </c>
      <c r="K15" t="s">
        <v>504</v>
      </c>
    </row>
    <row r="16" spans="1:11" ht="17">
      <c r="A16" s="18" t="s">
        <v>203</v>
      </c>
      <c r="B16" s="318">
        <v>5.4999999999999997E-3</v>
      </c>
      <c r="C16" s="319">
        <v>9.4000000000000004E-3</v>
      </c>
      <c r="D16" s="320">
        <v>1.4500000000000001E-2</v>
      </c>
      <c r="E16" s="318">
        <v>2.8E-3</v>
      </c>
      <c r="F16" s="319">
        <v>5.7000000000000002E-3</v>
      </c>
      <c r="G16" s="320">
        <v>7.4000000000000003E-3</v>
      </c>
      <c r="H16" s="401">
        <v>3.2000000000000002E-3</v>
      </c>
      <c r="I16" s="401">
        <v>6.7000000000000002E-3</v>
      </c>
      <c r="J16" s="402">
        <v>9.2999999999999992E-3</v>
      </c>
    </row>
    <row r="18" spans="1:13">
      <c r="A18" t="s">
        <v>600</v>
      </c>
      <c r="H18" s="223"/>
      <c r="I18" s="223"/>
      <c r="J18" s="223"/>
      <c r="K18" s="223"/>
      <c r="L18" s="223"/>
      <c r="M18" s="223"/>
    </row>
    <row r="19" spans="1:13" ht="17">
      <c r="A19" s="17" t="s">
        <v>474</v>
      </c>
      <c r="B19" s="240" t="s">
        <v>470</v>
      </c>
      <c r="C19" s="239" t="s">
        <v>471</v>
      </c>
      <c r="D19" s="220"/>
      <c r="E19" s="203"/>
      <c r="G19" s="220"/>
    </row>
    <row r="20" spans="1:13" ht="17">
      <c r="A20" s="11" t="s">
        <v>475</v>
      </c>
      <c r="B20" s="315">
        <v>1.4E-2</v>
      </c>
      <c r="C20" s="317">
        <v>1.2E-2</v>
      </c>
    </row>
    <row r="21" spans="1:13">
      <c r="A21" s="12" t="s">
        <v>230</v>
      </c>
      <c r="B21" s="356">
        <f>C13</f>
        <v>1.5900000000000001E-2</v>
      </c>
      <c r="C21" s="357">
        <f>F13</f>
        <v>1.15E-2</v>
      </c>
    </row>
    <row r="22" spans="1:13">
      <c r="B22" s="454"/>
      <c r="C22" s="454"/>
    </row>
    <row r="23" spans="1:13">
      <c r="B23" s="454"/>
      <c r="C23" s="454"/>
    </row>
    <row r="24" spans="1:13">
      <c r="B24" s="454"/>
      <c r="C24" s="454"/>
    </row>
    <row r="25" spans="1:13">
      <c r="B25" s="454"/>
      <c r="C25" s="454"/>
    </row>
    <row r="26" spans="1:13">
      <c r="B26" s="454"/>
      <c r="C26" s="454"/>
    </row>
    <row r="27" spans="1:13">
      <c r="B27" s="454"/>
      <c r="C27" s="454"/>
    </row>
    <row r="28" spans="1:13">
      <c r="B28" s="454"/>
      <c r="C28" s="454"/>
    </row>
    <row r="29" spans="1:13">
      <c r="B29" s="454"/>
      <c r="C29" s="454"/>
    </row>
    <row r="30" spans="1:13">
      <c r="A30" s="6"/>
      <c r="B30" s="117"/>
    </row>
    <row r="31" spans="1:13" ht="17">
      <c r="A31" s="17" t="s">
        <v>171</v>
      </c>
      <c r="B31" s="57" t="s">
        <v>41</v>
      </c>
      <c r="C31" s="58" t="s">
        <v>42</v>
      </c>
      <c r="D31" s="59" t="s">
        <v>43</v>
      </c>
    </row>
    <row r="32" spans="1:13" ht="17">
      <c r="A32" s="11" t="s">
        <v>170</v>
      </c>
      <c r="B32" s="358">
        <f t="shared" ref="B32:D33" si="0">H13</f>
        <v>9.7999999999999997E-3</v>
      </c>
      <c r="C32" s="359">
        <f t="shared" si="0"/>
        <v>1.26E-2</v>
      </c>
      <c r="D32" s="360">
        <f t="shared" si="0"/>
        <v>1.66E-2</v>
      </c>
      <c r="E32" s="6"/>
      <c r="F32" s="125"/>
    </row>
    <row r="33" spans="1:8" ht="17">
      <c r="A33" s="11" t="s">
        <v>265</v>
      </c>
      <c r="B33" s="358">
        <f t="shared" si="0"/>
        <v>1.3100000000000001E-2</v>
      </c>
      <c r="C33" s="359">
        <f t="shared" si="0"/>
        <v>1.6899999999999998E-2</v>
      </c>
      <c r="D33" s="360">
        <f t="shared" si="0"/>
        <v>2.1700000000000001E-2</v>
      </c>
      <c r="E33" s="188" t="s">
        <v>548</v>
      </c>
      <c r="F33" s="125"/>
    </row>
    <row r="34" spans="1:8" ht="17">
      <c r="A34" s="11" t="s">
        <v>476</v>
      </c>
      <c r="B34" s="356">
        <f>H16</f>
        <v>3.2000000000000002E-3</v>
      </c>
      <c r="C34" s="361">
        <f>I16</f>
        <v>6.7000000000000002E-3</v>
      </c>
      <c r="D34" s="357">
        <f>J16</f>
        <v>9.2999999999999992E-3</v>
      </c>
      <c r="E34" s="362"/>
      <c r="F34" s="125"/>
    </row>
    <row r="35" spans="1:8">
      <c r="A35" s="5"/>
      <c r="E35" s="6"/>
    </row>
    <row r="36" spans="1:8" ht="17">
      <c r="A36" s="17" t="s">
        <v>270</v>
      </c>
      <c r="B36" s="321" t="s">
        <v>84</v>
      </c>
      <c r="C36" s="238"/>
      <c r="D36" s="120"/>
      <c r="E36" s="321" t="s">
        <v>85</v>
      </c>
      <c r="F36" s="238"/>
      <c r="G36" s="120"/>
      <c r="H36" s="912" t="s">
        <v>356</v>
      </c>
    </row>
    <row r="37" spans="1:8">
      <c r="A37" s="17"/>
      <c r="B37" s="196" t="s">
        <v>41</v>
      </c>
      <c r="C37" s="242" t="s">
        <v>42</v>
      </c>
      <c r="D37" s="243" t="s">
        <v>43</v>
      </c>
      <c r="E37" s="196" t="s">
        <v>41</v>
      </c>
      <c r="F37" s="242" t="s">
        <v>42</v>
      </c>
      <c r="G37" s="243" t="s">
        <v>43</v>
      </c>
      <c r="H37" s="913"/>
    </row>
    <row r="38" spans="1:8" ht="17">
      <c r="A38" s="54" t="s">
        <v>170</v>
      </c>
      <c r="B38" s="322">
        <f>B32*MeanDomesticGasBill</f>
        <v>114.9902278708077</v>
      </c>
      <c r="C38" s="323">
        <f>C32*MeanDomesticGasBill</f>
        <v>147.84457869103849</v>
      </c>
      <c r="D38" s="324">
        <f>D32*MeanDomesticGasBill</f>
        <v>194.77936557708244</v>
      </c>
      <c r="E38" s="325">
        <f>ROUND(B38*gasPriceP/100,0)</f>
        <v>12</v>
      </c>
      <c r="F38" s="326">
        <f>ROUND(C38*gasPriceP/100,0)</f>
        <v>15</v>
      </c>
      <c r="G38" s="327">
        <f>ROUND(D38*gasPriceP/100,0)</f>
        <v>20</v>
      </c>
      <c r="H38" s="363">
        <f>propHomesGasHeating</f>
        <v>0.83559681832152144</v>
      </c>
    </row>
    <row r="39" spans="1:8">
      <c r="A39" s="149" t="s">
        <v>267</v>
      </c>
      <c r="B39" s="322">
        <f>B33*MeanDomesticOilBill</f>
        <v>257.21037204402279</v>
      </c>
      <c r="C39" s="323">
        <f>C33*MeanDomesticOilBill</f>
        <v>331.8210143163347</v>
      </c>
      <c r="D39" s="324">
        <f>D33*MeanDomesticOilBill</f>
        <v>426.06603613399199</v>
      </c>
      <c r="E39" s="325">
        <f>ROUND(B39*oilPriceP/100,0)</f>
        <v>25</v>
      </c>
      <c r="F39" s="326">
        <f>ROUND(C39*oilPriceP/100,0)</f>
        <v>32</v>
      </c>
      <c r="G39" s="327">
        <f>ROUND(D39*oilPriceP/100,0)</f>
        <v>41</v>
      </c>
      <c r="H39" s="363" cm="1">
        <f t="array" ref="H39">propHomesOilHeating</f>
        <v>5.3641102828713927E-2</v>
      </c>
    </row>
    <row r="40" spans="1:8" ht="17">
      <c r="A40" s="54" t="s">
        <v>245</v>
      </c>
      <c r="B40" s="322">
        <f>B34*MeanDomesticElectricHeatingBill</f>
        <v>24.142106398990716</v>
      </c>
      <c r="C40" s="323">
        <f>C34*MeanDomesticElectricHeatingBill</f>
        <v>50.547535272886812</v>
      </c>
      <c r="D40" s="324">
        <f>D34*MeanDomesticElectricHeatingBill</f>
        <v>70.162996722066765</v>
      </c>
      <c r="E40" s="325">
        <f>ROUND(B40*electricityPriceP/100,0)</f>
        <v>8</v>
      </c>
      <c r="F40" s="326">
        <f>ROUND(C40*electricityPriceP/100,0)</f>
        <v>17</v>
      </c>
      <c r="G40" s="327">
        <f>ROUND(D40*electricityPriceP/100,0)</f>
        <v>24</v>
      </c>
      <c r="H40" s="363" cm="1">
        <f t="array" ref="H40">propHomesOtherElectricHeaters</f>
        <v>2.9368716021621621E-2</v>
      </c>
    </row>
    <row r="41" spans="1:8" ht="17">
      <c r="A41" s="364" t="s">
        <v>360</v>
      </c>
      <c r="B41" s="365"/>
      <c r="C41" s="366"/>
      <c r="D41" s="367"/>
      <c r="E41" s="368">
        <f>SUMPRODUCT(E38:E40,$H38:$H40)/SUM($H38:$H40)</f>
        <v>12.631238061235901</v>
      </c>
      <c r="F41" s="369">
        <f>SUMPRODUCT(F38:F40,$H38:$H40)/SUM($H38:$H40)</f>
        <v>16.056639633172811</v>
      </c>
      <c r="G41" s="370">
        <f>SUMPRODUCT(G38:G40,$H38:$H40)/SUM($H38:$H40)</f>
        <v>21.354157452333709</v>
      </c>
      <c r="H41" s="309"/>
    </row>
    <row r="42" spans="1:8">
      <c r="A42" s="6"/>
      <c r="B42" s="138"/>
      <c r="C42" s="117"/>
      <c r="D42" s="117"/>
      <c r="E42" s="6"/>
    </row>
    <row r="43" spans="1:8">
      <c r="A43" s="6"/>
      <c r="B43" s="138"/>
    </row>
    <row r="44" spans="1:8" ht="17">
      <c r="A44" s="17" t="s">
        <v>162</v>
      </c>
      <c r="B44" s="57" t="s">
        <v>41</v>
      </c>
      <c r="C44" s="58" t="s">
        <v>42</v>
      </c>
      <c r="D44" s="59" t="s">
        <v>43</v>
      </c>
    </row>
    <row r="45" spans="1:8" ht="34">
      <c r="A45" s="11" t="s">
        <v>505</v>
      </c>
      <c r="B45" s="442">
        <v>0.1</v>
      </c>
      <c r="C45" s="443">
        <v>0.2</v>
      </c>
      <c r="D45" s="444">
        <v>0.3</v>
      </c>
      <c r="E45" s="14" t="s">
        <v>133</v>
      </c>
    </row>
    <row r="46" spans="1:8" ht="17">
      <c r="A46" s="11" t="s">
        <v>363</v>
      </c>
      <c r="B46" s="328">
        <f t="shared" ref="B46:D48" si="1">B$45*$H38</f>
        <v>8.355968183215215E-2</v>
      </c>
      <c r="C46" s="329">
        <f t="shared" si="1"/>
        <v>0.1671193636643043</v>
      </c>
      <c r="D46" s="330">
        <f t="shared" si="1"/>
        <v>0.25067904549645642</v>
      </c>
      <c r="E46" s="21"/>
      <c r="G46" s="653">
        <f>C46*numberDwellingsUK/1000</f>
        <v>4705.0483159999994</v>
      </c>
    </row>
    <row r="47" spans="1:8" ht="17">
      <c r="A47" s="11" t="s">
        <v>362</v>
      </c>
      <c r="B47" s="328">
        <f t="shared" si="1"/>
        <v>5.364110282871393E-3</v>
      </c>
      <c r="C47" s="329">
        <f t="shared" si="1"/>
        <v>1.0728220565742786E-2</v>
      </c>
      <c r="D47" s="330">
        <f t="shared" si="1"/>
        <v>1.6092330848614177E-2</v>
      </c>
      <c r="E47" s="21"/>
      <c r="G47" s="653">
        <f>C47*numberDwellingsUK/1000</f>
        <v>302.04038000000003</v>
      </c>
    </row>
    <row r="48" spans="1:8" ht="34">
      <c r="A48" s="11" t="s">
        <v>506</v>
      </c>
      <c r="B48" s="328">
        <f t="shared" si="1"/>
        <v>2.9368716021621623E-3</v>
      </c>
      <c r="C48" s="329">
        <f t="shared" si="1"/>
        <v>5.8737432043243247E-3</v>
      </c>
      <c r="D48" s="330">
        <f t="shared" si="1"/>
        <v>8.8106148064864866E-3</v>
      </c>
      <c r="E48" s="21"/>
      <c r="G48" s="653">
        <f>C48*numberDwellingsUK/1000</f>
        <v>165.36830302702705</v>
      </c>
    </row>
    <row r="49" spans="1:20" ht="17">
      <c r="A49" s="134" t="s">
        <v>236</v>
      </c>
      <c r="B49" s="371">
        <f>SUM(B46:B48)</f>
        <v>9.1860663717185709E-2</v>
      </c>
      <c r="C49" s="372">
        <f>SUM(C46:C48)</f>
        <v>0.18372132743437142</v>
      </c>
      <c r="D49" s="373">
        <f>SUM(D46:D48)</f>
        <v>0.27558199115155707</v>
      </c>
    </row>
    <row r="51" spans="1:20" ht="17">
      <c r="A51" s="17" t="s">
        <v>86</v>
      </c>
      <c r="B51" s="57" t="s">
        <v>41</v>
      </c>
      <c r="C51" s="58" t="s">
        <v>42</v>
      </c>
      <c r="D51" s="59" t="s">
        <v>43</v>
      </c>
    </row>
    <row r="52" spans="1:20" ht="17">
      <c r="A52" s="11" t="s">
        <v>182</v>
      </c>
      <c r="B52" s="338">
        <f>ROUND(TotalDomesticGasKwh*B32*B$45*carbonGasPerkWh/1000000,0)</f>
        <v>50</v>
      </c>
      <c r="C52" s="339">
        <f>ROUND(TotalDomesticGasKwh*C32*C$45*carbonGasPerkWh/1000000,0)</f>
        <v>128</v>
      </c>
      <c r="D52" s="340">
        <f>ROUND(TotalDomesticGasKwh*D32*D$45*carbonGasPerkWh/1000000,0)</f>
        <v>253</v>
      </c>
      <c r="E52" t="s">
        <v>46</v>
      </c>
    </row>
    <row r="53" spans="1:20">
      <c r="A53" s="12" t="s">
        <v>258</v>
      </c>
      <c r="B53" s="338">
        <f>ROUND(TotalDomesticOilkWh*B33*B45*carbonOilPerkWh/1000000,0)</f>
        <v>10</v>
      </c>
      <c r="C53" s="339">
        <f>ROUND(TotalDomesticOilkWh*C33*C45*carbonOilPerkWh/1000000,0)</f>
        <v>27</v>
      </c>
      <c r="D53" s="340">
        <f>ROUND(TotalDomesticOilkWh*D33*D45*carbonOilPerkWh/1000000,0)</f>
        <v>52</v>
      </c>
      <c r="E53" t="s">
        <v>46</v>
      </c>
    </row>
    <row r="54" spans="1:20">
      <c r="A54" s="12" t="s">
        <v>246</v>
      </c>
      <c r="B54" s="338">
        <f>ROUND(TotalOtherElectrickWh*B34*B$45*carbonElectricitryPerkWh/1000000,0)</f>
        <v>0</v>
      </c>
      <c r="C54" s="339">
        <f>ROUND(TotalOtherElectrickWh*C34*C$45*carbonElectricitryPerkWh/1000000,0)</f>
        <v>2</v>
      </c>
      <c r="D54" s="340">
        <f>ROUND(TotalOtherElectrickWh*D34*D$45*carbonElectricitryPerkWh/1000000,0)</f>
        <v>3</v>
      </c>
      <c r="E54" t="s">
        <v>46</v>
      </c>
    </row>
    <row r="55" spans="1:20">
      <c r="A55" s="136" t="s">
        <v>236</v>
      </c>
      <c r="B55" s="368">
        <f>SUM(B52:B54)</f>
        <v>60</v>
      </c>
      <c r="C55" s="369">
        <f t="shared" ref="C55:D55" si="2">SUM(C52:C54)</f>
        <v>157</v>
      </c>
      <c r="D55" s="370">
        <f t="shared" si="2"/>
        <v>308</v>
      </c>
      <c r="E55" t="s">
        <v>46</v>
      </c>
    </row>
    <row r="57" spans="1:20" ht="34">
      <c r="A57" s="244" t="s">
        <v>354</v>
      </c>
      <c r="B57" s="907" t="s">
        <v>98</v>
      </c>
      <c r="C57" s="908"/>
      <c r="D57" s="909"/>
      <c r="E57" s="907" t="s">
        <v>483</v>
      </c>
      <c r="F57" s="908"/>
      <c r="G57" s="909"/>
      <c r="H57" s="914" t="s">
        <v>99</v>
      </c>
      <c r="I57" s="915"/>
      <c r="J57" s="916"/>
      <c r="K57" s="245" t="s">
        <v>355</v>
      </c>
    </row>
    <row r="58" spans="1:20">
      <c r="A58" s="12"/>
      <c r="B58" s="162" t="s">
        <v>41</v>
      </c>
      <c r="C58" s="163" t="s">
        <v>42</v>
      </c>
      <c r="D58" s="164" t="s">
        <v>43</v>
      </c>
      <c r="E58" s="162" t="s">
        <v>41</v>
      </c>
      <c r="F58" s="163" t="s">
        <v>42</v>
      </c>
      <c r="G58" s="164" t="s">
        <v>43</v>
      </c>
      <c r="H58" s="162" t="s">
        <v>41</v>
      </c>
      <c r="I58" s="163" t="s">
        <v>42</v>
      </c>
      <c r="J58" s="164" t="s">
        <v>43</v>
      </c>
      <c r="K58" s="165"/>
    </row>
    <row r="59" spans="1:20" ht="34">
      <c r="A59" s="374" t="s">
        <v>623</v>
      </c>
      <c r="B59" s="193">
        <f>E41</f>
        <v>12.631238061235901</v>
      </c>
      <c r="C59" s="194">
        <f>F41</f>
        <v>16.056639633172811</v>
      </c>
      <c r="D59" s="195">
        <f>G41</f>
        <v>21.354157452333709</v>
      </c>
      <c r="E59" s="27">
        <f>B49</f>
        <v>9.1860663717185709E-2</v>
      </c>
      <c r="F59" s="28">
        <f>C49</f>
        <v>0.18372132743437142</v>
      </c>
      <c r="G59" s="29">
        <f>D49</f>
        <v>0.27558199115155707</v>
      </c>
      <c r="H59" s="193">
        <f>B55</f>
        <v>60</v>
      </c>
      <c r="I59" s="194">
        <f t="shared" ref="I59:J59" si="3">C55</f>
        <v>157</v>
      </c>
      <c r="J59" s="195">
        <f t="shared" si="3"/>
        <v>308</v>
      </c>
      <c r="K59" s="311" t="s">
        <v>301</v>
      </c>
    </row>
    <row r="62" spans="1:20" ht="17.25" customHeight="1">
      <c r="A62" s="17" t="s">
        <v>354</v>
      </c>
      <c r="B62" s="907" t="s">
        <v>682</v>
      </c>
      <c r="C62" s="908"/>
      <c r="D62" s="908"/>
      <c r="E62" s="908"/>
      <c r="F62" s="908"/>
      <c r="G62" s="908"/>
      <c r="H62" s="908"/>
      <c r="I62" s="908"/>
      <c r="J62" s="909"/>
      <c r="K62" s="907" t="s">
        <v>689</v>
      </c>
      <c r="L62" s="908"/>
      <c r="M62" s="908"/>
      <c r="N62" s="908"/>
      <c r="O62" s="908"/>
      <c r="P62" s="908"/>
      <c r="Q62" s="908"/>
      <c r="R62" s="908"/>
      <c r="S62" s="909"/>
      <c r="T62" s="551" t="s">
        <v>684</v>
      </c>
    </row>
    <row r="63" spans="1:20">
      <c r="A63" s="11"/>
      <c r="B63" s="171" t="s">
        <v>308</v>
      </c>
      <c r="C63" s="172"/>
      <c r="D63" s="174"/>
      <c r="E63" s="171" t="s">
        <v>352</v>
      </c>
      <c r="F63" s="172"/>
      <c r="G63" s="174"/>
      <c r="H63" s="520" t="s">
        <v>353</v>
      </c>
      <c r="I63" s="521"/>
      <c r="J63" s="521"/>
      <c r="K63" s="171" t="s">
        <v>308</v>
      </c>
      <c r="L63" s="172"/>
      <c r="M63" s="174"/>
      <c r="N63" s="171" t="s">
        <v>352</v>
      </c>
      <c r="O63" s="172"/>
      <c r="P63" s="174"/>
      <c r="Q63" s="520" t="s">
        <v>353</v>
      </c>
      <c r="R63" s="521"/>
      <c r="S63" s="522"/>
      <c r="T63" s="161"/>
    </row>
    <row r="64" spans="1:20">
      <c r="A64" s="11"/>
      <c r="B64" s="450" t="s">
        <v>41</v>
      </c>
      <c r="C64" s="224" t="s">
        <v>42</v>
      </c>
      <c r="D64" s="46" t="s">
        <v>43</v>
      </c>
      <c r="E64" s="450" t="s">
        <v>41</v>
      </c>
      <c r="F64" s="224" t="s">
        <v>42</v>
      </c>
      <c r="G64" s="46" t="s">
        <v>43</v>
      </c>
      <c r="H64" s="450" t="s">
        <v>41</v>
      </c>
      <c r="I64" s="224" t="s">
        <v>42</v>
      </c>
      <c r="J64" s="224" t="s">
        <v>43</v>
      </c>
      <c r="K64" s="450" t="s">
        <v>41</v>
      </c>
      <c r="L64" s="224" t="s">
        <v>42</v>
      </c>
      <c r="M64" s="46" t="s">
        <v>43</v>
      </c>
      <c r="N64" s="450" t="s">
        <v>41</v>
      </c>
      <c r="O64" s="224" t="s">
        <v>42</v>
      </c>
      <c r="P64" s="46" t="s">
        <v>43</v>
      </c>
      <c r="Q64" s="450" t="s">
        <v>41</v>
      </c>
      <c r="R64" s="224" t="s">
        <v>42</v>
      </c>
      <c r="S64" s="46" t="s">
        <v>43</v>
      </c>
      <c r="T64" s="161"/>
    </row>
    <row r="65" spans="1:20" ht="34">
      <c r="A65" s="374" t="s">
        <v>623</v>
      </c>
      <c r="B65" s="679">
        <f>B38</f>
        <v>114.9902278708077</v>
      </c>
      <c r="C65" s="680">
        <f>C38</f>
        <v>147.84457869103849</v>
      </c>
      <c r="D65" s="681">
        <f>D38</f>
        <v>194.77936557708244</v>
      </c>
      <c r="E65" s="679">
        <f>B39</f>
        <v>257.21037204402279</v>
      </c>
      <c r="F65" s="680">
        <f>C39</f>
        <v>331.8210143163347</v>
      </c>
      <c r="G65" s="681">
        <f>D39</f>
        <v>426.06603613399199</v>
      </c>
      <c r="H65" s="679">
        <f>B40</f>
        <v>24.142106398990716</v>
      </c>
      <c r="I65" s="680">
        <f>C40</f>
        <v>50.547535272886812</v>
      </c>
      <c r="J65" s="680">
        <f>D40</f>
        <v>70.162996722066765</v>
      </c>
      <c r="K65" s="246">
        <f>B46*numberDwellingsUK/1000</f>
        <v>2352.5241579999997</v>
      </c>
      <c r="L65" s="263">
        <f>C46*numberDwellingsUK/1000</f>
        <v>4705.0483159999994</v>
      </c>
      <c r="M65" s="264">
        <f>D46*numberDwellingsUK/1000</f>
        <v>7057.5724739999996</v>
      </c>
      <c r="N65" s="246">
        <f>B47*numberDwellingsUK/1000</f>
        <v>151.02019000000001</v>
      </c>
      <c r="O65" s="263">
        <f>C47*numberDwellingsUK/1000</f>
        <v>302.04038000000003</v>
      </c>
      <c r="P65" s="264">
        <f>D47*numberDwellingsUK/1000</f>
        <v>453.06056999999993</v>
      </c>
      <c r="Q65" s="246">
        <f>B48*numberDwellingsUK/1000</f>
        <v>82.684151513513527</v>
      </c>
      <c r="R65" s="263">
        <f>C48*numberDwellingsUK/1000</f>
        <v>165.36830302702705</v>
      </c>
      <c r="S65" s="264">
        <f>D48*numberDwellingsUK/1000</f>
        <v>248.05245454054059</v>
      </c>
      <c r="T65" s="311" t="s">
        <v>301</v>
      </c>
    </row>
  </sheetData>
  <sheetProtection sheet="1" objects="1" scenarios="1"/>
  <mergeCells count="6">
    <mergeCell ref="H36:H37"/>
    <mergeCell ref="B62:J62"/>
    <mergeCell ref="K62:S62"/>
    <mergeCell ref="B57:D57"/>
    <mergeCell ref="E57:G57"/>
    <mergeCell ref="H57:J5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T41"/>
  <sheetViews>
    <sheetView topLeftCell="A17" workbookViewId="0">
      <selection activeCell="A41" sqref="A41"/>
    </sheetView>
  </sheetViews>
  <sheetFormatPr baseColWidth="10" defaultColWidth="10.5" defaultRowHeight="16"/>
  <cols>
    <col min="1" max="1" width="59.5" customWidth="1"/>
    <col min="5" max="5" width="24.5" customWidth="1"/>
    <col min="6" max="7" width="10.83203125"/>
    <col min="11" max="11" width="13.5" customWidth="1"/>
    <col min="20" max="20" width="19.5" customWidth="1"/>
  </cols>
  <sheetData>
    <row r="1" spans="1:7" ht="17">
      <c r="A1" s="608" t="s">
        <v>686</v>
      </c>
      <c r="B1" s="150"/>
      <c r="C1" s="150"/>
      <c r="D1" s="150"/>
      <c r="E1" s="275"/>
      <c r="F1" s="464"/>
      <c r="G1" s="152"/>
    </row>
    <row r="2" spans="1:7" ht="17">
      <c r="A2" s="609" t="s">
        <v>785</v>
      </c>
      <c r="B2" s="275"/>
      <c r="C2" s="275"/>
      <c r="D2" s="275"/>
      <c r="E2" s="275"/>
      <c r="F2" s="464"/>
      <c r="G2" s="152"/>
    </row>
    <row r="3" spans="1:7" ht="68">
      <c r="A3" s="543" t="s">
        <v>954</v>
      </c>
      <c r="B3" s="151"/>
      <c r="C3" s="151"/>
      <c r="D3" s="151"/>
      <c r="E3" s="151"/>
      <c r="F3" s="152"/>
      <c r="G3" s="152"/>
    </row>
    <row r="4" spans="1:7" ht="68">
      <c r="A4" s="543" t="s">
        <v>955</v>
      </c>
      <c r="B4" s="151"/>
      <c r="C4" s="151"/>
      <c r="D4" s="151" t="s">
        <v>518</v>
      </c>
      <c r="E4" s="151"/>
      <c r="F4" s="152"/>
      <c r="G4" s="152"/>
    </row>
    <row r="5" spans="1:7" ht="34">
      <c r="A5" s="543" t="s">
        <v>786</v>
      </c>
      <c r="B5" s="151"/>
      <c r="C5" s="151"/>
      <c r="D5" s="151"/>
      <c r="E5" s="151"/>
      <c r="F5" s="152"/>
      <c r="G5" s="152"/>
    </row>
    <row r="6" spans="1:7" ht="102">
      <c r="A6" s="543" t="s">
        <v>787</v>
      </c>
      <c r="B6" s="151"/>
      <c r="C6" s="151"/>
      <c r="D6" s="151"/>
      <c r="E6" s="151"/>
      <c r="F6" s="152"/>
      <c r="G6" s="152"/>
    </row>
    <row r="7" spans="1:7" ht="102">
      <c r="A7" s="543" t="s">
        <v>788</v>
      </c>
      <c r="B7" s="151"/>
      <c r="C7" s="151"/>
      <c r="D7" s="151"/>
      <c r="E7" s="151"/>
      <c r="F7" s="152"/>
      <c r="G7" s="152"/>
    </row>
    <row r="8" spans="1:7" ht="64.5" customHeight="1">
      <c r="A8" s="151" t="s">
        <v>789</v>
      </c>
      <c r="B8" s="151"/>
      <c r="C8" s="151"/>
      <c r="D8" s="151"/>
      <c r="E8" s="151"/>
      <c r="F8" s="152"/>
      <c r="G8" s="152"/>
    </row>
    <row r="9" spans="1:7" ht="109.5" customHeight="1">
      <c r="A9" s="151" t="s">
        <v>956</v>
      </c>
      <c r="B9" s="151"/>
      <c r="C9" s="151"/>
      <c r="D9" s="151"/>
      <c r="E9" s="151"/>
      <c r="F9" s="152"/>
      <c r="G9" s="152"/>
    </row>
    <row r="10" spans="1:7" ht="68">
      <c r="A10" s="151" t="s">
        <v>790</v>
      </c>
      <c r="B10" s="151"/>
      <c r="C10" s="151"/>
      <c r="D10" s="151"/>
      <c r="E10" s="151"/>
      <c r="F10" s="152"/>
      <c r="G10" s="152"/>
    </row>
    <row r="11" spans="1:7">
      <c r="A11" s="151"/>
      <c r="B11" s="151"/>
      <c r="C11" s="151"/>
      <c r="D11" s="151"/>
      <c r="E11" s="151"/>
      <c r="F11" s="152"/>
      <c r="G11" s="152"/>
    </row>
    <row r="12" spans="1:7" ht="17">
      <c r="A12" s="275"/>
      <c r="B12" s="640" t="s">
        <v>41</v>
      </c>
      <c r="C12" s="640" t="s">
        <v>42</v>
      </c>
      <c r="D12" s="640" t="s">
        <v>43</v>
      </c>
      <c r="E12" s="151"/>
      <c r="F12" s="152"/>
      <c r="G12" s="152"/>
    </row>
    <row r="13" spans="1:7" ht="17">
      <c r="A13" s="273" t="s">
        <v>519</v>
      </c>
      <c r="B13" s="424">
        <v>50</v>
      </c>
      <c r="C13" s="424">
        <v>300</v>
      </c>
      <c r="D13" s="424">
        <v>600</v>
      </c>
      <c r="E13" s="151" t="s">
        <v>779</v>
      </c>
      <c r="F13" s="152" t="s">
        <v>517</v>
      </c>
      <c r="G13" s="152" t="s">
        <v>520</v>
      </c>
    </row>
    <row r="14" spans="1:7" ht="51">
      <c r="A14" s="273" t="s">
        <v>578</v>
      </c>
      <c r="B14" s="636">
        <v>0.7</v>
      </c>
      <c r="C14" s="636">
        <v>0.5</v>
      </c>
      <c r="D14" s="636">
        <v>0.3</v>
      </c>
      <c r="E14" s="151"/>
      <c r="F14" s="152" t="s">
        <v>325</v>
      </c>
      <c r="G14" s="152"/>
    </row>
    <row r="15" spans="1:7" ht="34">
      <c r="A15" s="273" t="s">
        <v>549</v>
      </c>
      <c r="B15" s="636">
        <v>0.85</v>
      </c>
      <c r="C15" s="636">
        <v>0.8</v>
      </c>
      <c r="D15" s="636">
        <v>0.75</v>
      </c>
      <c r="E15" s="151"/>
      <c r="F15" s="152" t="s">
        <v>581</v>
      </c>
      <c r="G15" s="152"/>
    </row>
    <row r="16" spans="1:7" ht="17">
      <c r="A16" s="273" t="s">
        <v>521</v>
      </c>
      <c r="B16" s="637">
        <f>B13/B15</f>
        <v>58.82352941176471</v>
      </c>
      <c r="C16" s="637">
        <f>C13/C15</f>
        <v>375</v>
      </c>
      <c r="D16" s="637">
        <f>D13/D15</f>
        <v>800</v>
      </c>
      <c r="E16" s="151" t="s">
        <v>326</v>
      </c>
      <c r="F16" s="152"/>
      <c r="G16" s="152"/>
    </row>
    <row r="17" spans="1:7" ht="17">
      <c r="A17" s="273" t="s">
        <v>522</v>
      </c>
      <c r="B17" s="637">
        <f>B16*B14</f>
        <v>41.176470588235297</v>
      </c>
      <c r="C17" s="637">
        <f>C16*C14</f>
        <v>187.5</v>
      </c>
      <c r="D17" s="637">
        <f>D16*D14</f>
        <v>240</v>
      </c>
      <c r="E17" s="151" t="s">
        <v>326</v>
      </c>
      <c r="F17" s="152"/>
      <c r="G17" s="152"/>
    </row>
    <row r="18" spans="1:7" ht="17">
      <c r="A18" s="273" t="s">
        <v>327</v>
      </c>
      <c r="B18" s="638">
        <v>0.9</v>
      </c>
      <c r="C18" s="638">
        <v>0.8</v>
      </c>
      <c r="D18" s="638">
        <v>0.5</v>
      </c>
      <c r="E18" s="151"/>
      <c r="F18" s="152" t="s">
        <v>133</v>
      </c>
      <c r="G18" s="152"/>
    </row>
    <row r="19" spans="1:7" ht="17">
      <c r="A19" s="273" t="s">
        <v>328</v>
      </c>
      <c r="B19" s="636">
        <v>0.8</v>
      </c>
      <c r="C19" s="636">
        <v>0.85</v>
      </c>
      <c r="D19" s="636">
        <v>0.9</v>
      </c>
      <c r="E19" s="151"/>
      <c r="F19" s="152" t="s">
        <v>581</v>
      </c>
      <c r="G19" s="152"/>
    </row>
    <row r="20" spans="1:7" ht="17">
      <c r="A20" s="273" t="s">
        <v>523</v>
      </c>
      <c r="B20" s="639">
        <f>B13*B18/B19</f>
        <v>56.25</v>
      </c>
      <c r="C20" s="639">
        <f>C13*C18/C19</f>
        <v>282.35294117647061</v>
      </c>
      <c r="D20" s="639">
        <f>D13*D18/D19</f>
        <v>333.33333333333331</v>
      </c>
      <c r="E20" s="151" t="s">
        <v>326</v>
      </c>
      <c r="F20" s="152"/>
      <c r="G20" s="152"/>
    </row>
    <row r="21" spans="1:7" ht="17">
      <c r="A21" s="273" t="s">
        <v>524</v>
      </c>
      <c r="B21" s="639">
        <f>B13*B14*B18/B19</f>
        <v>39.375</v>
      </c>
      <c r="C21" s="639">
        <f>C13*C14*C18/C19</f>
        <v>141.1764705882353</v>
      </c>
      <c r="D21" s="639">
        <f>D13*D14*D18/D19</f>
        <v>100</v>
      </c>
      <c r="E21" s="151" t="s">
        <v>326</v>
      </c>
      <c r="F21" s="152"/>
      <c r="G21" s="152"/>
    </row>
    <row r="22" spans="1:7" ht="17">
      <c r="A22" s="273" t="s">
        <v>525</v>
      </c>
      <c r="B22" s="639">
        <f>B16-B20</f>
        <v>2.5735294117647101</v>
      </c>
      <c r="C22" s="639">
        <f t="shared" ref="C22:D23" si="0">C16-C20</f>
        <v>92.647058823529392</v>
      </c>
      <c r="D22" s="639">
        <f t="shared" si="0"/>
        <v>466.66666666666669</v>
      </c>
      <c r="E22" s="151" t="s">
        <v>326</v>
      </c>
      <c r="F22" s="152"/>
      <c r="G22" s="152"/>
    </row>
    <row r="23" spans="1:7" ht="17">
      <c r="A23" s="273" t="s">
        <v>526</v>
      </c>
      <c r="B23" s="639">
        <f>B17-B21</f>
        <v>1.801470588235297</v>
      </c>
      <c r="C23" s="639">
        <f t="shared" si="0"/>
        <v>46.323529411764696</v>
      </c>
      <c r="D23" s="639">
        <f t="shared" si="0"/>
        <v>140</v>
      </c>
      <c r="E23" s="151" t="s">
        <v>326</v>
      </c>
      <c r="F23" s="152"/>
      <c r="G23" s="152"/>
    </row>
    <row r="24" spans="1:7">
      <c r="A24" s="151"/>
      <c r="B24" s="151"/>
      <c r="C24" s="151"/>
      <c r="D24" s="151"/>
      <c r="E24" s="151"/>
      <c r="F24" s="152"/>
      <c r="G24" s="152"/>
    </row>
    <row r="25" spans="1:7" ht="17">
      <c r="A25" s="274" t="s">
        <v>329</v>
      </c>
      <c r="B25" s="631" t="s">
        <v>41</v>
      </c>
      <c r="C25" s="631" t="s">
        <v>42</v>
      </c>
      <c r="D25" s="631" t="s">
        <v>43</v>
      </c>
      <c r="E25" s="151"/>
      <c r="F25" s="152"/>
      <c r="G25" s="152"/>
    </row>
    <row r="26" spans="1:7" ht="17">
      <c r="A26" s="226" t="s">
        <v>330</v>
      </c>
      <c r="B26" s="635">
        <f t="shared" ref="B26:D27" si="1">B22*gasPriceP/100</f>
        <v>0.26507352941176515</v>
      </c>
      <c r="C26" s="635">
        <f t="shared" si="1"/>
        <v>9.5426470588235279</v>
      </c>
      <c r="D26" s="635">
        <f t="shared" si="1"/>
        <v>48.06666666666667</v>
      </c>
      <c r="E26" s="151" t="s">
        <v>85</v>
      </c>
      <c r="F26" s="152"/>
      <c r="G26" s="152"/>
    </row>
    <row r="27" spans="1:7" ht="17">
      <c r="A27" s="226" t="s">
        <v>527</v>
      </c>
      <c r="B27" s="635">
        <f t="shared" si="1"/>
        <v>0.18555147058823562</v>
      </c>
      <c r="C27" s="635">
        <f t="shared" si="1"/>
        <v>4.771323529411764</v>
      </c>
      <c r="D27" s="635">
        <f t="shared" si="1"/>
        <v>14.42</v>
      </c>
      <c r="E27" s="151" t="s">
        <v>85</v>
      </c>
      <c r="F27" s="152"/>
      <c r="G27" s="152"/>
    </row>
    <row r="28" spans="1:7">
      <c r="A28" s="151"/>
      <c r="C28" s="151"/>
      <c r="D28" s="151"/>
      <c r="E28" s="151"/>
      <c r="F28" s="152"/>
      <c r="G28" s="152"/>
    </row>
    <row r="29" spans="1:7" ht="17">
      <c r="A29" s="274" t="s">
        <v>47</v>
      </c>
      <c r="B29" s="631" t="s">
        <v>41</v>
      </c>
      <c r="C29" s="631" t="s">
        <v>42</v>
      </c>
      <c r="D29" s="631" t="s">
        <v>43</v>
      </c>
      <c r="E29" s="151"/>
      <c r="F29" s="152"/>
      <c r="G29" s="152"/>
    </row>
    <row r="30" spans="1:7" ht="17">
      <c r="A30" s="273" t="s">
        <v>742</v>
      </c>
      <c r="B30" s="632">
        <f>C30*0.95</f>
        <v>0.53979554463570278</v>
      </c>
      <c r="C30" s="632">
        <f>propHomesGasHeating*(1-propGasRegular)</f>
        <v>0.56820583645863454</v>
      </c>
      <c r="D30" s="632">
        <f>C30*1.05</f>
        <v>0.59661612828156629</v>
      </c>
      <c r="E30" s="152"/>
      <c r="G30" s="152"/>
    </row>
    <row r="31" spans="1:7" ht="17">
      <c r="A31" s="273" t="s">
        <v>331</v>
      </c>
      <c r="B31" s="633">
        <v>0.2</v>
      </c>
      <c r="C31" s="633">
        <v>0.4</v>
      </c>
      <c r="D31" s="633">
        <v>0.6</v>
      </c>
      <c r="E31" s="423" t="s">
        <v>685</v>
      </c>
      <c r="G31" s="152"/>
    </row>
    <row r="32" spans="1:7" ht="17">
      <c r="A32" s="273" t="s">
        <v>332</v>
      </c>
      <c r="B32" s="633">
        <v>0.05</v>
      </c>
      <c r="C32" s="633">
        <v>0.1</v>
      </c>
      <c r="D32" s="633">
        <v>0.2</v>
      </c>
      <c r="E32" s="152" t="s">
        <v>133</v>
      </c>
      <c r="G32" s="152"/>
    </row>
    <row r="33" spans="1:20" ht="17">
      <c r="A33" s="273" t="s">
        <v>333</v>
      </c>
      <c r="B33" s="634">
        <f>B30*B31</f>
        <v>0.10795910892714056</v>
      </c>
      <c r="C33" s="634">
        <f>C30*C31</f>
        <v>0.22728233458345382</v>
      </c>
      <c r="D33" s="634">
        <f>D30*D31</f>
        <v>0.35796967696893978</v>
      </c>
      <c r="E33" s="152"/>
      <c r="G33" s="152"/>
    </row>
    <row r="34" spans="1:20" ht="17">
      <c r="A34" s="273" t="s">
        <v>589</v>
      </c>
      <c r="B34" s="634">
        <f>B33*B32</f>
        <v>5.397955446357028E-3</v>
      </c>
      <c r="C34" s="634">
        <f>C33*C32</f>
        <v>2.2728233458345383E-2</v>
      </c>
      <c r="D34" s="634">
        <f>D33*D32</f>
        <v>7.1593935393787958E-2</v>
      </c>
      <c r="E34" s="152"/>
      <c r="G34" s="152"/>
    </row>
    <row r="35" spans="1:20">
      <c r="A35" s="151"/>
      <c r="B35" s="151"/>
      <c r="C35" s="151"/>
      <c r="D35" s="151"/>
      <c r="E35" s="151"/>
      <c r="F35" s="152"/>
      <c r="G35" s="152"/>
    </row>
    <row r="37" spans="1:20" s="19" customFormat="1" ht="17">
      <c r="A37" s="17" t="s">
        <v>354</v>
      </c>
      <c r="B37" s="907" t="s">
        <v>682</v>
      </c>
      <c r="C37" s="908"/>
      <c r="D37" s="908"/>
      <c r="E37" s="908"/>
      <c r="F37" s="908"/>
      <c r="G37" s="908"/>
      <c r="H37" s="908"/>
      <c r="I37" s="908"/>
      <c r="J37" s="909"/>
      <c r="K37" s="907" t="s">
        <v>689</v>
      </c>
      <c r="L37" s="908"/>
      <c r="M37" s="908"/>
      <c r="N37" s="908"/>
      <c r="O37" s="908"/>
      <c r="P37" s="908"/>
      <c r="Q37" s="908"/>
      <c r="R37" s="908"/>
      <c r="S37" s="908"/>
      <c r="T37" s="622" t="s">
        <v>684</v>
      </c>
    </row>
    <row r="38" spans="1:20">
      <c r="A38" s="11"/>
      <c r="B38" s="171" t="s">
        <v>308</v>
      </c>
      <c r="C38" s="172"/>
      <c r="D38" s="174"/>
      <c r="E38" s="171" t="s">
        <v>352</v>
      </c>
      <c r="F38" s="172"/>
      <c r="G38" s="174"/>
      <c r="H38" s="520" t="s">
        <v>353</v>
      </c>
      <c r="I38" s="521"/>
      <c r="J38" s="522"/>
      <c r="K38" s="171" t="s">
        <v>308</v>
      </c>
      <c r="L38" s="172"/>
      <c r="M38" s="174"/>
      <c r="N38" s="171" t="s">
        <v>352</v>
      </c>
      <c r="O38" s="172"/>
      <c r="P38" s="174"/>
      <c r="Q38" s="520" t="s">
        <v>353</v>
      </c>
      <c r="R38" s="521"/>
      <c r="S38" s="522"/>
      <c r="T38" s="161"/>
    </row>
    <row r="39" spans="1:20">
      <c r="A39" s="225"/>
      <c r="B39" s="450" t="s">
        <v>41</v>
      </c>
      <c r="C39" s="224" t="s">
        <v>42</v>
      </c>
      <c r="D39" s="46" t="s">
        <v>43</v>
      </c>
      <c r="E39" s="450" t="s">
        <v>41</v>
      </c>
      <c r="F39" s="224" t="s">
        <v>42</v>
      </c>
      <c r="G39" s="46" t="s">
        <v>43</v>
      </c>
      <c r="H39" s="450" t="s">
        <v>41</v>
      </c>
      <c r="I39" s="224" t="s">
        <v>42</v>
      </c>
      <c r="J39" s="46" t="s">
        <v>43</v>
      </c>
      <c r="K39" s="450" t="s">
        <v>41</v>
      </c>
      <c r="L39" s="224" t="s">
        <v>42</v>
      </c>
      <c r="M39" s="46" t="s">
        <v>43</v>
      </c>
      <c r="N39" s="450" t="s">
        <v>41</v>
      </c>
      <c r="O39" s="224" t="s">
        <v>42</v>
      </c>
      <c r="P39" s="46" t="s">
        <v>43</v>
      </c>
      <c r="Q39" s="450" t="s">
        <v>41</v>
      </c>
      <c r="R39" s="224" t="s">
        <v>42</v>
      </c>
      <c r="S39" s="46" t="s">
        <v>43</v>
      </c>
      <c r="T39" s="623"/>
    </row>
    <row r="40" spans="1:20" ht="17">
      <c r="A40" s="425" t="s">
        <v>687</v>
      </c>
      <c r="B40" s="555">
        <f t="shared" ref="B40:D41" si="2">B22</f>
        <v>2.5735294117647101</v>
      </c>
      <c r="C40" s="421">
        <f t="shared" si="2"/>
        <v>92.647058823529392</v>
      </c>
      <c r="D40" s="624">
        <f t="shared" si="2"/>
        <v>466.66666666666669</v>
      </c>
      <c r="E40" s="527">
        <v>0</v>
      </c>
      <c r="F40" s="25">
        <v>0</v>
      </c>
      <c r="G40" s="26">
        <v>0</v>
      </c>
      <c r="H40" s="527">
        <v>0</v>
      </c>
      <c r="I40" s="25">
        <v>0</v>
      </c>
      <c r="J40" s="26">
        <v>0</v>
      </c>
      <c r="K40" s="555">
        <f t="shared" ref="K40:M41" si="3">B33*numberDwellingsUK/1000</f>
        <v>3039.4612121359996</v>
      </c>
      <c r="L40" s="421">
        <f t="shared" si="3"/>
        <v>6398.8657097599989</v>
      </c>
      <c r="M40" s="624">
        <f t="shared" si="3"/>
        <v>10078.213492872001</v>
      </c>
      <c r="N40" s="527">
        <v>0</v>
      </c>
      <c r="O40" s="25">
        <v>0</v>
      </c>
      <c r="P40" s="26">
        <v>0</v>
      </c>
      <c r="Q40" s="527">
        <v>0</v>
      </c>
      <c r="R40" s="25">
        <v>0</v>
      </c>
      <c r="S40" s="26">
        <v>0</v>
      </c>
      <c r="T40" s="596" t="s">
        <v>301</v>
      </c>
    </row>
    <row r="41" spans="1:20" ht="17">
      <c r="A41" s="426" t="s">
        <v>688</v>
      </c>
      <c r="B41" s="625">
        <f t="shared" si="2"/>
        <v>1.801470588235297</v>
      </c>
      <c r="C41" s="626">
        <f t="shared" si="2"/>
        <v>46.323529411764696</v>
      </c>
      <c r="D41" s="627">
        <f t="shared" si="2"/>
        <v>140</v>
      </c>
      <c r="E41" s="628">
        <v>0</v>
      </c>
      <c r="F41" s="35">
        <v>0</v>
      </c>
      <c r="G41" s="36">
        <v>0</v>
      </c>
      <c r="H41" s="628">
        <v>0</v>
      </c>
      <c r="I41" s="35">
        <v>0</v>
      </c>
      <c r="J41" s="36">
        <v>0</v>
      </c>
      <c r="K41" s="604">
        <f t="shared" si="3"/>
        <v>151.9730606068</v>
      </c>
      <c r="L41" s="605">
        <f t="shared" si="3"/>
        <v>639.88657097599992</v>
      </c>
      <c r="M41" s="629">
        <f t="shared" si="3"/>
        <v>2015.6426985743999</v>
      </c>
      <c r="N41" s="628">
        <v>0</v>
      </c>
      <c r="O41" s="35">
        <v>0</v>
      </c>
      <c r="P41" s="36">
        <v>0</v>
      </c>
      <c r="Q41" s="628">
        <v>0</v>
      </c>
      <c r="R41" s="35">
        <v>0</v>
      </c>
      <c r="S41" s="36">
        <v>0</v>
      </c>
      <c r="T41" s="630" t="s">
        <v>301</v>
      </c>
    </row>
  </sheetData>
  <sheetProtection sheet="1" objects="1" scenarios="1"/>
  <mergeCells count="2">
    <mergeCell ref="B37:J37"/>
    <mergeCell ref="K37:S3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T50"/>
  <sheetViews>
    <sheetView topLeftCell="A30" workbookViewId="0">
      <selection activeCell="A11" sqref="A11"/>
    </sheetView>
  </sheetViews>
  <sheetFormatPr baseColWidth="10" defaultColWidth="10.5" defaultRowHeight="16"/>
  <cols>
    <col min="1" max="1" width="73" style="13" customWidth="1"/>
    <col min="11" max="11" width="16" customWidth="1"/>
    <col min="20" max="20" width="13.33203125" customWidth="1"/>
  </cols>
  <sheetData>
    <row r="1" spans="1:12" ht="17">
      <c r="A1" s="17" t="s">
        <v>313</v>
      </c>
      <c r="B1" s="16"/>
      <c r="C1" s="16"/>
      <c r="D1" s="16"/>
    </row>
    <row r="2" spans="1:12" ht="34">
      <c r="A2" s="15" t="s">
        <v>791</v>
      </c>
      <c r="B2" s="16"/>
      <c r="C2" s="16"/>
      <c r="D2" s="16"/>
    </row>
    <row r="3" spans="1:12" ht="34">
      <c r="A3" s="13" t="s">
        <v>957</v>
      </c>
    </row>
    <row r="4" spans="1:12" ht="102">
      <c r="A4" s="13" t="s">
        <v>958</v>
      </c>
    </row>
    <row r="5" spans="1:12" ht="102">
      <c r="A5" s="13" t="s">
        <v>579</v>
      </c>
    </row>
    <row r="6" spans="1:12" ht="34">
      <c r="A6" s="13" t="s">
        <v>564</v>
      </c>
    </row>
    <row r="7" spans="1:12" ht="17">
      <c r="A7" s="13" t="s">
        <v>535</v>
      </c>
    </row>
    <row r="8" spans="1:12" ht="131.25" customHeight="1">
      <c r="A8" s="465" t="s">
        <v>580</v>
      </c>
    </row>
    <row r="9" spans="1:12" ht="68">
      <c r="A9" s="13" t="s">
        <v>959</v>
      </c>
    </row>
    <row r="10" spans="1:12" ht="85">
      <c r="A10" s="13" t="s">
        <v>550</v>
      </c>
    </row>
    <row r="11" spans="1:12" ht="114" customHeight="1">
      <c r="A11" s="465" t="s">
        <v>582</v>
      </c>
    </row>
    <row r="13" spans="1:12">
      <c r="B13" s="917" t="s">
        <v>584</v>
      </c>
      <c r="C13" s="917"/>
      <c r="D13" s="917"/>
      <c r="E13" s="918" t="s">
        <v>583</v>
      </c>
      <c r="F13" s="918"/>
      <c r="G13" s="918"/>
      <c r="I13" s="422" t="s">
        <v>585</v>
      </c>
      <c r="J13" s="417"/>
      <c r="K13" s="417"/>
      <c r="L13" s="417"/>
    </row>
    <row r="14" spans="1:12">
      <c r="A14" s="265"/>
      <c r="B14" s="242" t="s">
        <v>41</v>
      </c>
      <c r="C14" s="242" t="s">
        <v>42</v>
      </c>
      <c r="D14" s="242" t="s">
        <v>43</v>
      </c>
      <c r="E14" s="418" t="s">
        <v>41</v>
      </c>
      <c r="F14" s="418" t="s">
        <v>42</v>
      </c>
      <c r="G14" s="418" t="s">
        <v>43</v>
      </c>
    </row>
    <row r="15" spans="1:12" ht="17">
      <c r="A15" s="18" t="s">
        <v>314</v>
      </c>
      <c r="B15" s="420">
        <v>65</v>
      </c>
      <c r="C15" s="420">
        <v>70</v>
      </c>
      <c r="D15" s="420">
        <v>75</v>
      </c>
      <c r="E15" s="419">
        <f>B15</f>
        <v>65</v>
      </c>
      <c r="F15" s="419">
        <f t="shared" ref="F15:G15" si="0">C15</f>
        <v>70</v>
      </c>
      <c r="G15" s="419">
        <f t="shared" si="0"/>
        <v>75</v>
      </c>
      <c r="H15" t="s">
        <v>364</v>
      </c>
      <c r="I15" t="s">
        <v>133</v>
      </c>
    </row>
    <row r="16" spans="1:12" ht="17">
      <c r="A16" s="18" t="s">
        <v>315</v>
      </c>
      <c r="B16" s="420">
        <v>60</v>
      </c>
      <c r="C16" s="420">
        <v>60</v>
      </c>
      <c r="D16" s="420">
        <v>60</v>
      </c>
      <c r="E16" s="419">
        <v>51.5</v>
      </c>
      <c r="F16" s="419">
        <v>51.5</v>
      </c>
      <c r="G16" s="419">
        <v>51.5</v>
      </c>
      <c r="H16" t="s">
        <v>364</v>
      </c>
      <c r="I16" t="s">
        <v>565</v>
      </c>
    </row>
    <row r="17" spans="1:10" ht="17">
      <c r="A17" s="18" t="s">
        <v>586</v>
      </c>
      <c r="B17" s="420">
        <v>18</v>
      </c>
      <c r="C17" s="420">
        <v>18</v>
      </c>
      <c r="D17" s="420">
        <v>18</v>
      </c>
      <c r="E17" s="419">
        <f>B17</f>
        <v>18</v>
      </c>
      <c r="F17" s="419">
        <f t="shared" ref="F17:F19" si="1">C17</f>
        <v>18</v>
      </c>
      <c r="G17" s="419">
        <f t="shared" ref="G17:G19" si="2">D17</f>
        <v>18</v>
      </c>
      <c r="H17" t="s">
        <v>364</v>
      </c>
    </row>
    <row r="18" spans="1:10" ht="17">
      <c r="A18" s="18" t="s">
        <v>511</v>
      </c>
      <c r="B18" s="420">
        <v>700</v>
      </c>
      <c r="C18" s="420">
        <v>1000</v>
      </c>
      <c r="D18" s="420">
        <v>1500</v>
      </c>
      <c r="E18" s="419">
        <f>B18</f>
        <v>700</v>
      </c>
      <c r="F18" s="419">
        <f t="shared" si="1"/>
        <v>1000</v>
      </c>
      <c r="G18" s="419">
        <f t="shared" si="2"/>
        <v>1500</v>
      </c>
      <c r="H18" t="s">
        <v>84</v>
      </c>
      <c r="I18" t="s">
        <v>316</v>
      </c>
    </row>
    <row r="19" spans="1:10" ht="17">
      <c r="A19" s="18" t="s">
        <v>317</v>
      </c>
      <c r="B19" s="420">
        <v>70</v>
      </c>
      <c r="C19" s="420">
        <v>70</v>
      </c>
      <c r="D19" s="420">
        <v>70</v>
      </c>
      <c r="E19" s="419">
        <f>B19</f>
        <v>70</v>
      </c>
      <c r="F19" s="419">
        <f t="shared" si="1"/>
        <v>70</v>
      </c>
      <c r="G19" s="419">
        <f t="shared" si="2"/>
        <v>70</v>
      </c>
      <c r="H19" t="s">
        <v>364</v>
      </c>
    </row>
    <row r="20" spans="1:10" ht="17">
      <c r="A20" s="18" t="s">
        <v>318</v>
      </c>
      <c r="B20" s="339">
        <f t="shared" ref="B20:G21" si="3">B$18*(B15-B$17)/(B$19-B$17)</f>
        <v>632.69230769230774</v>
      </c>
      <c r="C20" s="339">
        <f t="shared" si="3"/>
        <v>1000</v>
      </c>
      <c r="D20" s="339">
        <f t="shared" si="3"/>
        <v>1644.2307692307693</v>
      </c>
      <c r="E20" s="384">
        <f t="shared" si="3"/>
        <v>632.69230769230774</v>
      </c>
      <c r="F20" s="384">
        <f t="shared" si="3"/>
        <v>1000</v>
      </c>
      <c r="G20" s="384">
        <f t="shared" si="3"/>
        <v>1644.2307692307693</v>
      </c>
      <c r="H20" t="s">
        <v>84</v>
      </c>
      <c r="I20" t="s">
        <v>380</v>
      </c>
    </row>
    <row r="21" spans="1:10" ht="17">
      <c r="A21" s="18" t="s">
        <v>512</v>
      </c>
      <c r="B21" s="339">
        <f t="shared" si="3"/>
        <v>565.38461538461536</v>
      </c>
      <c r="C21" s="339">
        <f t="shared" si="3"/>
        <v>807.69230769230774</v>
      </c>
      <c r="D21" s="339">
        <f t="shared" si="3"/>
        <v>1211.5384615384614</v>
      </c>
      <c r="E21" s="384">
        <f t="shared" si="3"/>
        <v>450.96153846153845</v>
      </c>
      <c r="F21" s="384">
        <f t="shared" si="3"/>
        <v>644.23076923076928</v>
      </c>
      <c r="G21" s="384">
        <f t="shared" si="3"/>
        <v>966.34615384615381</v>
      </c>
      <c r="H21" t="s">
        <v>84</v>
      </c>
    </row>
    <row r="22" spans="1:10" ht="17">
      <c r="A22" s="18" t="s">
        <v>319</v>
      </c>
      <c r="B22" s="339">
        <f t="shared" ref="B22:G22" si="4">B20-B21</f>
        <v>67.307692307692378</v>
      </c>
      <c r="C22" s="339">
        <f t="shared" si="4"/>
        <v>192.30769230769226</v>
      </c>
      <c r="D22" s="339">
        <f t="shared" si="4"/>
        <v>432.69230769230785</v>
      </c>
      <c r="E22" s="384">
        <f t="shared" si="4"/>
        <v>181.73076923076928</v>
      </c>
      <c r="F22" s="384">
        <f t="shared" si="4"/>
        <v>355.76923076923072</v>
      </c>
      <c r="G22" s="384">
        <f t="shared" si="4"/>
        <v>677.88461538461547</v>
      </c>
      <c r="H22" t="s">
        <v>84</v>
      </c>
    </row>
    <row r="23" spans="1:10" ht="17">
      <c r="A23" s="18" t="s">
        <v>320</v>
      </c>
      <c r="B23" s="335">
        <v>0.74</v>
      </c>
      <c r="C23" s="335">
        <v>0.7</v>
      </c>
      <c r="D23" s="335">
        <v>0.64</v>
      </c>
      <c r="E23" s="55">
        <f>B23</f>
        <v>0.74</v>
      </c>
      <c r="F23" s="55">
        <f t="shared" ref="F23:F25" si="5">C23</f>
        <v>0.7</v>
      </c>
      <c r="G23" s="55">
        <f t="shared" ref="G23:G25" si="6">D23</f>
        <v>0.64</v>
      </c>
      <c r="I23" t="s">
        <v>365</v>
      </c>
      <c r="J23" t="s">
        <v>551</v>
      </c>
    </row>
    <row r="24" spans="1:10" ht="17">
      <c r="A24" s="18" t="s">
        <v>321</v>
      </c>
      <c r="B24" s="335">
        <v>0.85</v>
      </c>
      <c r="C24" s="335">
        <v>0.8</v>
      </c>
      <c r="D24" s="335">
        <v>0.75</v>
      </c>
      <c r="E24" s="55">
        <f>B24</f>
        <v>0.85</v>
      </c>
      <c r="F24" s="55">
        <f t="shared" si="5"/>
        <v>0.8</v>
      </c>
      <c r="G24" s="55">
        <f t="shared" si="6"/>
        <v>0.75</v>
      </c>
      <c r="I24" t="s">
        <v>365</v>
      </c>
      <c r="J24" t="s">
        <v>552</v>
      </c>
    </row>
    <row r="25" spans="1:10" ht="17">
      <c r="A25" s="18" t="s">
        <v>322</v>
      </c>
      <c r="B25" s="335">
        <f>'Turn off pre-heat'!B18</f>
        <v>0.9</v>
      </c>
      <c r="C25" s="335">
        <f>'Turn off pre-heat'!C18</f>
        <v>0.8</v>
      </c>
      <c r="D25" s="335">
        <f>'Turn off pre-heat'!D18</f>
        <v>0.5</v>
      </c>
      <c r="E25" s="55">
        <f>B25</f>
        <v>0.9</v>
      </c>
      <c r="F25" s="55">
        <f t="shared" si="5"/>
        <v>0.8</v>
      </c>
      <c r="G25" s="55">
        <f t="shared" si="6"/>
        <v>0.5</v>
      </c>
      <c r="I25" t="s">
        <v>513</v>
      </c>
    </row>
    <row r="26" spans="1:10" ht="17">
      <c r="A26" s="18" t="s">
        <v>382</v>
      </c>
      <c r="B26" s="339">
        <f t="shared" ref="B26:G26" si="7">B22/B23</f>
        <v>90.956340956341052</v>
      </c>
      <c r="C26" s="339">
        <f t="shared" si="7"/>
        <v>274.72527472527469</v>
      </c>
      <c r="D26" s="339">
        <f t="shared" si="7"/>
        <v>676.08173076923106</v>
      </c>
      <c r="E26" s="384">
        <f t="shared" si="7"/>
        <v>245.58212058212067</v>
      </c>
      <c r="F26" s="384">
        <f t="shared" si="7"/>
        <v>508.24175824175819</v>
      </c>
      <c r="G26" s="384">
        <f t="shared" si="7"/>
        <v>1059.1947115384617</v>
      </c>
      <c r="H26" t="s">
        <v>84</v>
      </c>
    </row>
    <row r="27" spans="1:10" ht="17">
      <c r="A27" s="18" t="s">
        <v>383</v>
      </c>
      <c r="B27" s="339">
        <f t="shared" ref="B27:G27" si="8">B22*(1-B25)/B24</f>
        <v>7.9185520361991015</v>
      </c>
      <c r="C27" s="339">
        <f t="shared" si="8"/>
        <v>48.076923076923052</v>
      </c>
      <c r="D27" s="339">
        <f t="shared" si="8"/>
        <v>288.46153846153857</v>
      </c>
      <c r="E27" s="384">
        <f t="shared" si="8"/>
        <v>21.380090497737559</v>
      </c>
      <c r="F27" s="384">
        <f t="shared" si="8"/>
        <v>88.942307692307665</v>
      </c>
      <c r="G27" s="384">
        <f t="shared" si="8"/>
        <v>451.92307692307696</v>
      </c>
      <c r="H27" t="s">
        <v>84</v>
      </c>
    </row>
    <row r="28" spans="1:10" ht="17">
      <c r="A28" s="18" t="s">
        <v>323</v>
      </c>
      <c r="B28" s="339">
        <f t="shared" ref="B28:G28" si="9">B26-B27</f>
        <v>83.037788920141949</v>
      </c>
      <c r="C28" s="339">
        <f t="shared" si="9"/>
        <v>226.64835164835165</v>
      </c>
      <c r="D28" s="339">
        <f t="shared" si="9"/>
        <v>387.62019230769249</v>
      </c>
      <c r="E28" s="384">
        <f t="shared" si="9"/>
        <v>224.2020300843831</v>
      </c>
      <c r="F28" s="384">
        <f t="shared" si="9"/>
        <v>419.29945054945051</v>
      </c>
      <c r="G28" s="384">
        <f t="shared" si="9"/>
        <v>607.27163461538476</v>
      </c>
      <c r="H28" t="s">
        <v>84</v>
      </c>
    </row>
    <row r="29" spans="1:10">
      <c r="B29" s="421"/>
      <c r="C29" s="421"/>
      <c r="D29" s="421"/>
      <c r="E29" s="25"/>
      <c r="F29" s="25"/>
      <c r="G29" s="25"/>
    </row>
    <row r="30" spans="1:10" ht="17">
      <c r="A30" s="18" t="s">
        <v>368</v>
      </c>
      <c r="B30" s="335">
        <v>0.72</v>
      </c>
      <c r="C30" s="335">
        <v>0.69</v>
      </c>
      <c r="D30" s="335">
        <v>0.66</v>
      </c>
      <c r="E30" s="55">
        <f>B30</f>
        <v>0.72</v>
      </c>
      <c r="F30" s="55">
        <f t="shared" ref="F30:F31" si="10">C30</f>
        <v>0.69</v>
      </c>
      <c r="G30" s="55">
        <f t="shared" ref="G30:G31" si="11">D30</f>
        <v>0.66</v>
      </c>
      <c r="I30" t="s">
        <v>365</v>
      </c>
      <c r="J30" t="s">
        <v>551</v>
      </c>
    </row>
    <row r="31" spans="1:10" ht="17">
      <c r="A31" s="18" t="s">
        <v>367</v>
      </c>
      <c r="B31" s="335">
        <v>0.84</v>
      </c>
      <c r="C31" s="335">
        <v>0.81</v>
      </c>
      <c r="D31" s="335">
        <v>0.78</v>
      </c>
      <c r="E31" s="55">
        <f>B31</f>
        <v>0.84</v>
      </c>
      <c r="F31" s="55">
        <f t="shared" si="10"/>
        <v>0.81</v>
      </c>
      <c r="G31" s="55">
        <f t="shared" si="11"/>
        <v>0.78</v>
      </c>
      <c r="I31" t="s">
        <v>365</v>
      </c>
      <c r="J31" t="s">
        <v>552</v>
      </c>
    </row>
    <row r="32" spans="1:10" ht="17">
      <c r="A32" s="18" t="s">
        <v>381</v>
      </c>
      <c r="B32" s="339">
        <f t="shared" ref="B32:G32" si="12">B22/B30</f>
        <v>93.48290598290609</v>
      </c>
      <c r="C32" s="339">
        <f t="shared" si="12"/>
        <v>278.70680044593087</v>
      </c>
      <c r="D32" s="339">
        <f t="shared" si="12"/>
        <v>655.59440559440577</v>
      </c>
      <c r="E32" s="384">
        <f t="shared" si="12"/>
        <v>252.40384615384625</v>
      </c>
      <c r="F32" s="384">
        <f t="shared" si="12"/>
        <v>515.60758082497205</v>
      </c>
      <c r="G32" s="384">
        <f t="shared" si="12"/>
        <v>1027.0979020979021</v>
      </c>
      <c r="H32" t="s">
        <v>84</v>
      </c>
    </row>
    <row r="33" spans="1:20" ht="17">
      <c r="A33" s="18" t="s">
        <v>369</v>
      </c>
      <c r="B33" s="339">
        <f t="shared" ref="B33:G33" si="13">B22*(1-B25)/B31</f>
        <v>8.0128205128205199</v>
      </c>
      <c r="C33" s="339">
        <f t="shared" si="13"/>
        <v>47.483380816714124</v>
      </c>
      <c r="D33" s="339">
        <f t="shared" si="13"/>
        <v>277.36686390532554</v>
      </c>
      <c r="E33" s="384">
        <f t="shared" si="13"/>
        <v>21.634615384615387</v>
      </c>
      <c r="F33" s="384">
        <f t="shared" si="13"/>
        <v>87.844254510921147</v>
      </c>
      <c r="G33" s="384">
        <f t="shared" si="13"/>
        <v>434.54142011834324</v>
      </c>
      <c r="H33" t="s">
        <v>84</v>
      </c>
    </row>
    <row r="34" spans="1:20" ht="17">
      <c r="A34" s="18" t="s">
        <v>324</v>
      </c>
      <c r="B34" s="339">
        <f t="shared" ref="B34:G34" si="14">B32-B33</f>
        <v>85.470085470085564</v>
      </c>
      <c r="C34" s="339">
        <f t="shared" si="14"/>
        <v>231.22341962921675</v>
      </c>
      <c r="D34" s="339">
        <f t="shared" si="14"/>
        <v>378.22754168908023</v>
      </c>
      <c r="E34" s="384">
        <f t="shared" si="14"/>
        <v>230.76923076923086</v>
      </c>
      <c r="F34" s="384">
        <f t="shared" si="14"/>
        <v>427.76332631405091</v>
      </c>
      <c r="G34" s="384">
        <f t="shared" si="14"/>
        <v>592.55648197955884</v>
      </c>
      <c r="H34" t="s">
        <v>84</v>
      </c>
    </row>
    <row r="35" spans="1:20">
      <c r="B35" s="25"/>
      <c r="C35" s="25"/>
      <c r="D35" s="25"/>
      <c r="E35" s="25"/>
      <c r="F35" s="25"/>
      <c r="G35" s="25"/>
    </row>
    <row r="37" spans="1:20" ht="17">
      <c r="A37" s="15" t="s">
        <v>47</v>
      </c>
      <c r="B37" s="219" t="s">
        <v>41</v>
      </c>
      <c r="C37" s="242" t="s">
        <v>42</v>
      </c>
      <c r="D37" s="242" t="s">
        <v>43</v>
      </c>
    </row>
    <row r="38" spans="1:20" ht="17">
      <c r="A38" s="18" t="s">
        <v>514</v>
      </c>
      <c r="B38" s="335">
        <f>propGasRegular*0.95</f>
        <v>0.30399999999999999</v>
      </c>
      <c r="C38" s="335">
        <f>propGasRegular</f>
        <v>0.32</v>
      </c>
      <c r="D38" s="335">
        <f>propGasRegular*1.1</f>
        <v>0.35200000000000004</v>
      </c>
      <c r="F38" t="s">
        <v>770</v>
      </c>
    </row>
    <row r="39" spans="1:20" ht="17">
      <c r="A39" s="18" t="s">
        <v>515</v>
      </c>
      <c r="B39" s="332">
        <f>78%*0.95</f>
        <v>0.74099999999999999</v>
      </c>
      <c r="C39" s="335">
        <f>propOilRegular</f>
        <v>0.78</v>
      </c>
      <c r="D39" s="332">
        <f>78%*1.1</f>
        <v>0.8580000000000001</v>
      </c>
      <c r="F39" t="s">
        <v>770</v>
      </c>
    </row>
    <row r="40" spans="1:20" ht="34">
      <c r="A40" s="18" t="s">
        <v>516</v>
      </c>
      <c r="B40" s="55">
        <v>0.5</v>
      </c>
      <c r="C40" s="55">
        <v>0.8</v>
      </c>
      <c r="D40" s="55">
        <v>0.95</v>
      </c>
      <c r="F40" t="s">
        <v>133</v>
      </c>
    </row>
    <row r="41" spans="1:20" ht="17">
      <c r="A41" s="394" t="s">
        <v>537</v>
      </c>
      <c r="B41" s="262">
        <f>B38*B40*propHomesGasHeating</f>
        <v>0.12701071638487127</v>
      </c>
      <c r="C41" s="262">
        <f>C38*C40*propHomesGasHeating</f>
        <v>0.21391278549030948</v>
      </c>
      <c r="D41" s="262">
        <f>D38*D40*propHomesGasHeating</f>
        <v>0.2794235760467168</v>
      </c>
    </row>
    <row r="42" spans="1:20" ht="17">
      <c r="A42" s="394" t="s">
        <v>536</v>
      </c>
      <c r="B42" s="262">
        <f>B39*B40*propHomesOilHeating</f>
        <v>1.987402859803851E-2</v>
      </c>
      <c r="C42" s="262">
        <f>C39*C40*propHomesOilHeating</f>
        <v>3.3472048165117493E-2</v>
      </c>
      <c r="D42" s="262">
        <f>D39*D40*propHomesOilHeating</f>
        <v>4.3722862915684724E-2</v>
      </c>
    </row>
    <row r="43" spans="1:20" ht="17">
      <c r="A43" s="18" t="s">
        <v>236</v>
      </c>
      <c r="B43" s="135">
        <f>SUM(B41:B42)</f>
        <v>0.14688474498290977</v>
      </c>
      <c r="C43" s="135">
        <f>SUM(C41:C42)</f>
        <v>0.24738483365542696</v>
      </c>
      <c r="D43" s="135">
        <f>SUM(D41:D42)</f>
        <v>0.32314643896240153</v>
      </c>
    </row>
    <row r="44" spans="1:20">
      <c r="B44" s="2"/>
      <c r="C44" s="2"/>
      <c r="D44" s="2"/>
    </row>
    <row r="46" spans="1:20" ht="17">
      <c r="A46" s="17" t="s">
        <v>354</v>
      </c>
      <c r="B46" s="907" t="s">
        <v>682</v>
      </c>
      <c r="C46" s="908"/>
      <c r="D46" s="908"/>
      <c r="E46" s="908"/>
      <c r="F46" s="908"/>
      <c r="G46" s="908"/>
      <c r="H46" s="908"/>
      <c r="I46" s="908"/>
      <c r="J46" s="909"/>
      <c r="K46" s="907" t="s">
        <v>689</v>
      </c>
      <c r="L46" s="908"/>
      <c r="M46" s="908"/>
      <c r="N46" s="908"/>
      <c r="O46" s="908"/>
      <c r="P46" s="908"/>
      <c r="Q46" s="908"/>
      <c r="R46" s="908"/>
      <c r="S46" s="909"/>
      <c r="T46" s="912" t="s">
        <v>684</v>
      </c>
    </row>
    <row r="47" spans="1:20">
      <c r="A47" s="11"/>
      <c r="B47" s="173" t="s">
        <v>308</v>
      </c>
      <c r="C47" s="136"/>
      <c r="D47" s="136"/>
      <c r="E47" s="136" t="s">
        <v>352</v>
      </c>
      <c r="F47" s="136"/>
      <c r="G47" s="136"/>
      <c r="H47" s="495" t="s">
        <v>353</v>
      </c>
      <c r="I47" s="495"/>
      <c r="J47" s="496"/>
      <c r="K47" s="173" t="s">
        <v>308</v>
      </c>
      <c r="L47" s="136"/>
      <c r="M47" s="136"/>
      <c r="N47" s="136" t="s">
        <v>352</v>
      </c>
      <c r="O47" s="136"/>
      <c r="P47" s="136"/>
      <c r="Q47" s="495" t="s">
        <v>353</v>
      </c>
      <c r="R47" s="495"/>
      <c r="S47" s="496"/>
      <c r="T47" s="913"/>
    </row>
    <row r="48" spans="1:20">
      <c r="A48" s="225"/>
      <c r="B48" s="450" t="s">
        <v>41</v>
      </c>
      <c r="C48" s="224" t="s">
        <v>42</v>
      </c>
      <c r="D48" s="224" t="s">
        <v>43</v>
      </c>
      <c r="E48" s="199" t="s">
        <v>41</v>
      </c>
      <c r="F48" s="224" t="s">
        <v>42</v>
      </c>
      <c r="G48" s="224" t="s">
        <v>43</v>
      </c>
      <c r="H48" s="199" t="s">
        <v>41</v>
      </c>
      <c r="I48" s="224" t="s">
        <v>42</v>
      </c>
      <c r="J48" s="46" t="s">
        <v>43</v>
      </c>
      <c r="K48" s="450" t="s">
        <v>41</v>
      </c>
      <c r="L48" s="224" t="s">
        <v>42</v>
      </c>
      <c r="M48" s="224" t="s">
        <v>43</v>
      </c>
      <c r="N48" s="199" t="s">
        <v>41</v>
      </c>
      <c r="O48" s="224" t="s">
        <v>42</v>
      </c>
      <c r="P48" s="224" t="s">
        <v>43</v>
      </c>
      <c r="Q48" s="199" t="s">
        <v>41</v>
      </c>
      <c r="R48" s="224" t="s">
        <v>42</v>
      </c>
      <c r="S48" s="46" t="s">
        <v>43</v>
      </c>
      <c r="T48" s="913"/>
    </row>
    <row r="49" spans="1:20" ht="17">
      <c r="A49" s="18" t="s">
        <v>825</v>
      </c>
      <c r="B49" s="555">
        <f>B28</f>
        <v>83.037788920141949</v>
      </c>
      <c r="C49" s="421">
        <f>C28</f>
        <v>226.64835164835165</v>
      </c>
      <c r="D49" s="421">
        <f>D28</f>
        <v>387.62019230769249</v>
      </c>
      <c r="E49" s="808">
        <f>E34</f>
        <v>230.76923076923086</v>
      </c>
      <c r="F49" s="808">
        <f>F34</f>
        <v>427.76332631405091</v>
      </c>
      <c r="G49" s="808">
        <f>G34</f>
        <v>592.55648197955884</v>
      </c>
      <c r="H49" s="25">
        <v>0</v>
      </c>
      <c r="I49" s="25">
        <v>0</v>
      </c>
      <c r="J49" s="26">
        <v>0</v>
      </c>
      <c r="K49" s="555">
        <f>B41*numberDwellingsUK/1000</f>
        <v>3575.8367201599999</v>
      </c>
      <c r="L49" s="421">
        <f>C41*numberDwellingsUK/1000</f>
        <v>6022.4618444799999</v>
      </c>
      <c r="M49" s="421">
        <f>D41*numberDwellingsUK/1000</f>
        <v>7866.8407843520008</v>
      </c>
      <c r="N49" s="421">
        <f>B42*numberDwellingsUK/1000</f>
        <v>559.52980394999997</v>
      </c>
      <c r="O49" s="421">
        <f>C42*numberDwellingsUK/1000</f>
        <v>942.36598560000004</v>
      </c>
      <c r="P49" s="421">
        <f>D42*numberDwellingsUK/1000</f>
        <v>1230.9655686899998</v>
      </c>
      <c r="Q49" s="25">
        <v>0</v>
      </c>
      <c r="R49" s="25">
        <v>0</v>
      </c>
      <c r="S49" s="26">
        <v>0</v>
      </c>
      <c r="T49" s="536" t="s">
        <v>301</v>
      </c>
    </row>
    <row r="50" spans="1:20" ht="17">
      <c r="A50" s="18" t="s">
        <v>587</v>
      </c>
      <c r="B50" s="625">
        <f>E28</f>
        <v>224.2020300843831</v>
      </c>
      <c r="C50" s="626">
        <f>F28</f>
        <v>419.29945054945051</v>
      </c>
      <c r="D50" s="626">
        <f>G28</f>
        <v>607.27163461538476</v>
      </c>
      <c r="E50" s="605">
        <f>E34</f>
        <v>230.76923076923086</v>
      </c>
      <c r="F50" s="605">
        <f>F34</f>
        <v>427.76332631405091</v>
      </c>
      <c r="G50" s="605">
        <f>G34</f>
        <v>592.55648197955884</v>
      </c>
      <c r="H50" s="35">
        <v>0</v>
      </c>
      <c r="I50" s="35">
        <v>0</v>
      </c>
      <c r="J50" s="36">
        <v>0</v>
      </c>
      <c r="K50" s="604">
        <f t="shared" ref="K50:P50" si="15">K49</f>
        <v>3575.8367201599999</v>
      </c>
      <c r="L50" s="605">
        <f t="shared" si="15"/>
        <v>6022.4618444799999</v>
      </c>
      <c r="M50" s="605">
        <f t="shared" si="15"/>
        <v>7866.8407843520008</v>
      </c>
      <c r="N50" s="605">
        <f t="shared" si="15"/>
        <v>559.52980394999997</v>
      </c>
      <c r="O50" s="605">
        <f t="shared" si="15"/>
        <v>942.36598560000004</v>
      </c>
      <c r="P50" s="605">
        <f t="shared" si="15"/>
        <v>1230.9655686899998</v>
      </c>
      <c r="Q50" s="35">
        <v>0</v>
      </c>
      <c r="R50" s="35">
        <v>0</v>
      </c>
      <c r="S50" s="36">
        <v>0</v>
      </c>
      <c r="T50" s="537" t="s">
        <v>301</v>
      </c>
    </row>
  </sheetData>
  <sheetProtection sheet="1" objects="1" scenarios="1"/>
  <mergeCells count="5">
    <mergeCell ref="T46:T48"/>
    <mergeCell ref="B13:D13"/>
    <mergeCell ref="E13:G13"/>
    <mergeCell ref="B46:J46"/>
    <mergeCell ref="K46:S4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dimension ref="A1:T40"/>
  <sheetViews>
    <sheetView topLeftCell="A24" workbookViewId="0">
      <selection activeCell="A29" sqref="A29"/>
    </sheetView>
  </sheetViews>
  <sheetFormatPr baseColWidth="10" defaultColWidth="10.5" defaultRowHeight="16"/>
  <cols>
    <col min="1" max="1" width="46.5" style="13" customWidth="1"/>
    <col min="20" max="20" width="19.5" customWidth="1"/>
  </cols>
  <sheetData>
    <row r="1" spans="1:6" ht="34">
      <c r="A1" s="15" t="s">
        <v>761</v>
      </c>
      <c r="B1" s="16"/>
      <c r="C1" s="16"/>
      <c r="D1" s="16"/>
    </row>
    <row r="2" spans="1:6" ht="17">
      <c r="A2" s="15" t="s">
        <v>728</v>
      </c>
      <c r="B2" s="16"/>
      <c r="C2" s="16"/>
      <c r="D2" s="16"/>
    </row>
    <row r="3" spans="1:6" ht="51">
      <c r="A3" s="13" t="s">
        <v>729</v>
      </c>
    </row>
    <row r="4" spans="1:6" ht="85">
      <c r="A4" s="13" t="s">
        <v>792</v>
      </c>
    </row>
    <row r="5" spans="1:6" ht="61.5" customHeight="1">
      <c r="A5" s="13" t="s">
        <v>793</v>
      </c>
    </row>
    <row r="6" spans="1:6" ht="102">
      <c r="A6" s="13" t="s">
        <v>794</v>
      </c>
    </row>
    <row r="8" spans="1:6">
      <c r="E8" s="123"/>
      <c r="F8" s="123"/>
    </row>
    <row r="9" spans="1:6">
      <c r="E9" s="123"/>
      <c r="F9" s="123"/>
    </row>
    <row r="10" spans="1:6">
      <c r="E10" s="123"/>
      <c r="F10" s="123"/>
    </row>
    <row r="11" spans="1:6">
      <c r="E11" s="123"/>
      <c r="F11" s="123"/>
    </row>
    <row r="12" spans="1:6" ht="17">
      <c r="A12" s="297" t="s">
        <v>730</v>
      </c>
      <c r="B12" s="266" t="s">
        <v>41</v>
      </c>
      <c r="C12" s="266" t="s">
        <v>42</v>
      </c>
      <c r="D12" s="239" t="s">
        <v>43</v>
      </c>
      <c r="E12" s="123"/>
      <c r="F12" s="123"/>
    </row>
    <row r="13" spans="1:6" ht="17">
      <c r="A13" s="269" t="s">
        <v>731</v>
      </c>
      <c r="B13" s="181">
        <v>50</v>
      </c>
      <c r="C13" s="181">
        <v>52</v>
      </c>
      <c r="D13" s="146">
        <v>55</v>
      </c>
      <c r="E13" s="123" t="s">
        <v>364</v>
      </c>
      <c r="F13" s="123" t="s">
        <v>762</v>
      </c>
    </row>
    <row r="14" spans="1:6" ht="17">
      <c r="A14" s="269" t="s">
        <v>732</v>
      </c>
      <c r="B14" s="181">
        <v>45</v>
      </c>
      <c r="C14" s="181">
        <v>42</v>
      </c>
      <c r="D14" s="146">
        <v>40</v>
      </c>
      <c r="E14" s="123" t="s">
        <v>364</v>
      </c>
      <c r="F14" s="123"/>
    </row>
    <row r="15" spans="1:6" ht="17">
      <c r="A15" s="269" t="s">
        <v>733</v>
      </c>
      <c r="B15" s="181">
        <v>13</v>
      </c>
      <c r="C15" s="181">
        <v>13</v>
      </c>
      <c r="D15" s="146">
        <v>13</v>
      </c>
      <c r="E15" s="123" t="s">
        <v>364</v>
      </c>
      <c r="F15" s="123" t="s">
        <v>765</v>
      </c>
    </row>
    <row r="16" spans="1:6" ht="17">
      <c r="A16" s="269" t="s">
        <v>734</v>
      </c>
      <c r="B16" s="181">
        <v>2</v>
      </c>
      <c r="C16" s="181">
        <v>2.5</v>
      </c>
      <c r="D16" s="146">
        <v>3</v>
      </c>
      <c r="E16" s="123"/>
      <c r="F16" s="123"/>
    </row>
    <row r="17" spans="1:8" ht="34">
      <c r="A17" s="269" t="s">
        <v>735</v>
      </c>
      <c r="B17" s="471">
        <f>(9.8*B16+14)*1.075</f>
        <v>36.119999999999997</v>
      </c>
      <c r="C17" s="471">
        <f>(9.8*C16+14)*1.075</f>
        <v>41.387499999999996</v>
      </c>
      <c r="D17" s="544">
        <f>(9.8*D16+14)*1.075</f>
        <v>46.655000000000001</v>
      </c>
      <c r="E17" s="123" t="s">
        <v>736</v>
      </c>
      <c r="F17" s="123" t="s">
        <v>764</v>
      </c>
    </row>
    <row r="18" spans="1:8" ht="17">
      <c r="A18" s="269" t="s">
        <v>737</v>
      </c>
      <c r="B18" s="471">
        <f>(B13-B15)*B17*4.18/3600*365</f>
        <v>566.3906966666666</v>
      </c>
      <c r="C18" s="471">
        <f t="shared" ref="C18:D18" si="0">(C13-C15)*C17*4.18/3600*365</f>
        <v>684.06984479166647</v>
      </c>
      <c r="D18" s="544">
        <f t="shared" si="0"/>
        <v>830.45122416666663</v>
      </c>
      <c r="E18" s="123" t="s">
        <v>84</v>
      </c>
      <c r="F18" s="123"/>
    </row>
    <row r="19" spans="1:8" ht="17">
      <c r="A19" s="269" t="s">
        <v>738</v>
      </c>
      <c r="B19" s="471">
        <f>(B14-B15)*B17*4.18/3600*365</f>
        <v>489.85141333333326</v>
      </c>
      <c r="C19" s="471">
        <f t="shared" ref="C19:D19" si="1">(C14-C15)*C17*4.18/3600*365</f>
        <v>508.66732048611107</v>
      </c>
      <c r="D19" s="544">
        <f t="shared" si="1"/>
        <v>533.86150124999995</v>
      </c>
      <c r="E19" s="123" t="s">
        <v>84</v>
      </c>
      <c r="F19" s="123"/>
    </row>
    <row r="20" spans="1:8" ht="17">
      <c r="A20" s="270" t="s">
        <v>319</v>
      </c>
      <c r="B20" s="474">
        <f>B18-B19</f>
        <v>76.539283333333344</v>
      </c>
      <c r="C20" s="474">
        <f>C18-C19</f>
        <v>175.4025243055554</v>
      </c>
      <c r="D20" s="545">
        <f>D18-D19</f>
        <v>296.58972291666669</v>
      </c>
      <c r="E20" s="123" t="s">
        <v>84</v>
      </c>
      <c r="F20" s="123"/>
    </row>
    <row r="22" spans="1:8" ht="17">
      <c r="A22" s="297" t="s">
        <v>766</v>
      </c>
      <c r="B22" s="238" t="s">
        <v>41</v>
      </c>
      <c r="C22" s="238" t="s">
        <v>42</v>
      </c>
      <c r="D22" s="120" t="s">
        <v>43</v>
      </c>
    </row>
    <row r="23" spans="1:8" ht="17">
      <c r="A23" s="269" t="s">
        <v>739</v>
      </c>
      <c r="B23" s="292">
        <f>'Reducing DHW temp. (cylinder)'!B23</f>
        <v>0.74</v>
      </c>
      <c r="C23" s="292">
        <f>'Reducing DHW temp. (cylinder)'!C23</f>
        <v>0.7</v>
      </c>
      <c r="D23" s="546">
        <f>'Reducing DHW temp. (cylinder)'!D23</f>
        <v>0.64</v>
      </c>
      <c r="F23" t="s">
        <v>740</v>
      </c>
    </row>
    <row r="24" spans="1:8" ht="17">
      <c r="A24" s="270" t="s">
        <v>741</v>
      </c>
      <c r="B24" s="547">
        <f>'Reducing DHW temp. (cylinder)'!B30</f>
        <v>0.72</v>
      </c>
      <c r="C24" s="547">
        <f>'Reducing DHW temp. (cylinder)'!C30</f>
        <v>0.69</v>
      </c>
      <c r="D24" s="548">
        <f>'Reducing DHW temp. (cylinder)'!D30</f>
        <v>0.66</v>
      </c>
      <c r="F24" t="s">
        <v>740</v>
      </c>
    </row>
    <row r="26" spans="1:8" ht="17">
      <c r="A26" s="321" t="s">
        <v>270</v>
      </c>
      <c r="B26" s="120"/>
      <c r="C26" s="321" t="s">
        <v>84</v>
      </c>
      <c r="D26" s="238"/>
      <c r="E26" s="120"/>
      <c r="F26" s="321" t="s">
        <v>85</v>
      </c>
      <c r="G26" s="238"/>
      <c r="H26" s="120"/>
    </row>
    <row r="27" spans="1:8">
      <c r="A27" s="473"/>
      <c r="B27" s="649"/>
      <c r="C27" s="196" t="s">
        <v>41</v>
      </c>
      <c r="D27" s="242" t="s">
        <v>42</v>
      </c>
      <c r="E27" s="243" t="s">
        <v>43</v>
      </c>
      <c r="F27" s="196" t="s">
        <v>41</v>
      </c>
      <c r="G27" s="242" t="s">
        <v>42</v>
      </c>
      <c r="H27" s="243" t="s">
        <v>43</v>
      </c>
    </row>
    <row r="28" spans="1:8" ht="17">
      <c r="A28" s="468" t="s">
        <v>795</v>
      </c>
      <c r="B28" s="222" t="s">
        <v>308</v>
      </c>
      <c r="C28" s="549">
        <f>B20/B23</f>
        <v>103.43146396396398</v>
      </c>
      <c r="D28" s="471">
        <f>C20/C23</f>
        <v>250.57503472222203</v>
      </c>
      <c r="E28" s="544">
        <f>D20/D23</f>
        <v>463.4214420572917</v>
      </c>
      <c r="F28" s="606">
        <f>ROUND(C28*gasPriceP/100,0)</f>
        <v>11</v>
      </c>
      <c r="G28" s="470">
        <f>ROUND(D28*gasPriceP/100,0)</f>
        <v>26</v>
      </c>
      <c r="H28" s="469">
        <f>ROUND(E28*gasPriceP/100,0)</f>
        <v>48</v>
      </c>
    </row>
    <row r="29" spans="1:8">
      <c r="A29" s="270"/>
      <c r="B29" s="515" t="s">
        <v>352</v>
      </c>
      <c r="C29" s="557">
        <f>B20/B24</f>
        <v>106.30456018518521</v>
      </c>
      <c r="D29" s="474">
        <f>C20/C24</f>
        <v>254.20655696457305</v>
      </c>
      <c r="E29" s="545">
        <f>D20/D24</f>
        <v>449.37836805555554</v>
      </c>
      <c r="F29" s="607">
        <f>ROUND(C29*oilPriceP/100,0)</f>
        <v>10</v>
      </c>
      <c r="G29" s="488">
        <f>ROUND(D29*oilPriceP/100,0)</f>
        <v>25</v>
      </c>
      <c r="H29" s="489">
        <f>ROUND(E29*oilPriceP/100,0)</f>
        <v>43</v>
      </c>
    </row>
    <row r="31" spans="1:8" ht="17">
      <c r="A31" s="297" t="s">
        <v>47</v>
      </c>
      <c r="B31" s="238"/>
      <c r="C31" s="650" t="s">
        <v>41</v>
      </c>
      <c r="D31" s="58" t="s">
        <v>42</v>
      </c>
      <c r="E31" s="59" t="s">
        <v>43</v>
      </c>
    </row>
    <row r="32" spans="1:8" ht="17">
      <c r="A32" s="651" t="s">
        <v>742</v>
      </c>
      <c r="B32" s="12" t="s">
        <v>308</v>
      </c>
      <c r="C32" s="292">
        <f>D32*0.95</f>
        <v>0.53979554463570278</v>
      </c>
      <c r="D32" s="292">
        <f>propHomesGasHeating*(1-propGasRegular)</f>
        <v>0.56820583645863454</v>
      </c>
      <c r="E32" s="546">
        <f>D32*1.05</f>
        <v>0.59661612828156629</v>
      </c>
    </row>
    <row r="33" spans="1:20" ht="17">
      <c r="A33" s="652" t="s">
        <v>743</v>
      </c>
      <c r="B33" s="513" t="s">
        <v>352</v>
      </c>
      <c r="C33" s="279">
        <f>D33*0.95</f>
        <v>1.1210990491201209E-2</v>
      </c>
      <c r="D33" s="279">
        <f>propHomesOilHeating*(1-propOilRegular)</f>
        <v>1.1801042622317062E-2</v>
      </c>
      <c r="E33" s="272">
        <f>D33*1.05</f>
        <v>1.2391094753432915E-2</v>
      </c>
    </row>
    <row r="37" spans="1:20" ht="17">
      <c r="A37" s="550" t="s">
        <v>354</v>
      </c>
      <c r="B37" s="908" t="s">
        <v>682</v>
      </c>
      <c r="C37" s="908"/>
      <c r="D37" s="908"/>
      <c r="E37" s="908"/>
      <c r="F37" s="908"/>
      <c r="G37" s="908"/>
      <c r="H37" s="908"/>
      <c r="I37" s="908"/>
      <c r="J37" s="908"/>
      <c r="K37" s="907" t="s">
        <v>689</v>
      </c>
      <c r="L37" s="908"/>
      <c r="M37" s="908"/>
      <c r="N37" s="908"/>
      <c r="O37" s="908"/>
      <c r="P37" s="908"/>
      <c r="Q37" s="908"/>
      <c r="R37" s="908"/>
      <c r="S37" s="909"/>
      <c r="T37" s="551" t="s">
        <v>684</v>
      </c>
    </row>
    <row r="38" spans="1:20">
      <c r="A38" s="552"/>
      <c r="B38" s="171" t="s">
        <v>308</v>
      </c>
      <c r="C38" s="172"/>
      <c r="D38" s="174"/>
      <c r="E38" s="171" t="s">
        <v>352</v>
      </c>
      <c r="F38" s="172"/>
      <c r="G38" s="174"/>
      <c r="H38" s="520" t="s">
        <v>353</v>
      </c>
      <c r="I38" s="521"/>
      <c r="J38" s="522"/>
      <c r="K38" s="171" t="s">
        <v>308</v>
      </c>
      <c r="L38" s="172"/>
      <c r="M38" s="174"/>
      <c r="N38" s="171" t="s">
        <v>352</v>
      </c>
      <c r="O38" s="172"/>
      <c r="P38" s="174"/>
      <c r="Q38" s="520" t="s">
        <v>353</v>
      </c>
      <c r="R38" s="521"/>
      <c r="S38" s="522"/>
      <c r="T38" s="161"/>
    </row>
    <row r="39" spans="1:20">
      <c r="A39" s="553"/>
      <c r="B39" s="450" t="s">
        <v>41</v>
      </c>
      <c r="C39" s="224" t="s">
        <v>42</v>
      </c>
      <c r="D39" s="46" t="s">
        <v>43</v>
      </c>
      <c r="E39" s="450" t="s">
        <v>41</v>
      </c>
      <c r="F39" s="224" t="s">
        <v>42</v>
      </c>
      <c r="G39" s="46" t="s">
        <v>43</v>
      </c>
      <c r="H39" s="450" t="s">
        <v>41</v>
      </c>
      <c r="I39" s="224" t="s">
        <v>42</v>
      </c>
      <c r="J39" s="46" t="s">
        <v>43</v>
      </c>
      <c r="K39" s="450" t="s">
        <v>41</v>
      </c>
      <c r="L39" s="224" t="s">
        <v>42</v>
      </c>
      <c r="M39" s="46" t="s">
        <v>43</v>
      </c>
      <c r="N39" s="450" t="s">
        <v>41</v>
      </c>
      <c r="O39" s="224" t="s">
        <v>42</v>
      </c>
      <c r="P39" s="46" t="s">
        <v>43</v>
      </c>
      <c r="Q39" s="450" t="s">
        <v>41</v>
      </c>
      <c r="R39" s="224" t="s">
        <v>42</v>
      </c>
      <c r="S39" s="46" t="s">
        <v>43</v>
      </c>
      <c r="T39" s="623"/>
    </row>
    <row r="40" spans="1:20" ht="34">
      <c r="A40" s="554" t="s">
        <v>846</v>
      </c>
      <c r="B40" s="246">
        <f>C28</f>
        <v>103.43146396396398</v>
      </c>
      <c r="C40" s="263">
        <f>D28</f>
        <v>250.57503472222203</v>
      </c>
      <c r="D40" s="264">
        <f>E28</f>
        <v>463.4214420572917</v>
      </c>
      <c r="E40" s="246">
        <f>C29</f>
        <v>106.30456018518521</v>
      </c>
      <c r="F40" s="263">
        <f>D29</f>
        <v>254.20655696457305</v>
      </c>
      <c r="G40" s="264">
        <f>E29</f>
        <v>449.37836805555554</v>
      </c>
      <c r="H40" s="524">
        <v>0</v>
      </c>
      <c r="I40" s="525">
        <v>0</v>
      </c>
      <c r="J40" s="526">
        <v>0</v>
      </c>
      <c r="K40" s="687">
        <f>C32*numberDwellingsUK/1000</f>
        <v>15197.306060679997</v>
      </c>
      <c r="L40" s="688">
        <f>D32*numberDwellingsUK/1000</f>
        <v>15997.164274399998</v>
      </c>
      <c r="M40" s="689">
        <f>E32*numberDwellingsUK/1000</f>
        <v>16797.022488119997</v>
      </c>
      <c r="N40" s="246">
        <f>C33*numberDwellingsUK/1000</f>
        <v>315.63219709999993</v>
      </c>
      <c r="O40" s="263">
        <f>D33*numberDwellingsUK/1000</f>
        <v>332.24441799999994</v>
      </c>
      <c r="P40" s="264">
        <f>E33*numberDwellingsUK/1000</f>
        <v>348.85663889999989</v>
      </c>
      <c r="Q40" s="246">
        <v>0</v>
      </c>
      <c r="R40" s="263">
        <v>0</v>
      </c>
      <c r="S40" s="264">
        <v>0</v>
      </c>
      <c r="T40" s="309" t="s">
        <v>301</v>
      </c>
    </row>
  </sheetData>
  <sheetProtection sheet="1" objects="1" scenarios="1"/>
  <mergeCells count="2">
    <mergeCell ref="B37:J37"/>
    <mergeCell ref="K37:S3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22"/>
  <sheetViews>
    <sheetView workbookViewId="0">
      <selection activeCell="A3" sqref="A3"/>
    </sheetView>
  </sheetViews>
  <sheetFormatPr baseColWidth="10" defaultColWidth="10.5" defaultRowHeight="16"/>
  <cols>
    <col min="1" max="1" width="63.5" style="13" customWidth="1"/>
  </cols>
  <sheetData>
    <row r="1" spans="1:6" ht="30" customHeight="1">
      <c r="A1" s="17" t="s">
        <v>172</v>
      </c>
      <c r="B1" s="16"/>
      <c r="C1" s="16"/>
      <c r="D1" s="16"/>
    </row>
    <row r="2" spans="1:6" ht="17">
      <c r="A2" s="17" t="s">
        <v>657</v>
      </c>
      <c r="B2" s="16"/>
      <c r="C2" s="16"/>
      <c r="D2" s="16"/>
    </row>
    <row r="3" spans="1:6" ht="119">
      <c r="A3" s="169" t="s">
        <v>507</v>
      </c>
      <c r="B3" s="21"/>
      <c r="C3" s="21"/>
    </row>
    <row r="4" spans="1:6" ht="34">
      <c r="A4" s="169" t="s">
        <v>371</v>
      </c>
      <c r="B4" s="21"/>
      <c r="C4" s="21"/>
    </row>
    <row r="5" spans="1:6" ht="96.75" customHeight="1">
      <c r="A5" s="13" t="s">
        <v>508</v>
      </c>
      <c r="B5" s="21"/>
      <c r="C5" s="21"/>
    </row>
    <row r="6" spans="1:6" ht="153">
      <c r="A6" s="13" t="s">
        <v>509</v>
      </c>
      <c r="B6" s="144"/>
    </row>
    <row r="7" spans="1:6" ht="136">
      <c r="A7" s="13" t="s">
        <v>284</v>
      </c>
    </row>
    <row r="8" spans="1:6" ht="51">
      <c r="A8" s="13" t="s">
        <v>588</v>
      </c>
    </row>
    <row r="10" spans="1:6" ht="17">
      <c r="A10" s="15" t="s">
        <v>177</v>
      </c>
      <c r="B10" s="119"/>
      <c r="C10" s="902" t="s">
        <v>75</v>
      </c>
      <c r="D10" s="903"/>
      <c r="E10" s="903"/>
      <c r="F10" s="120"/>
    </row>
    <row r="11" spans="1:6" s="13" customFormat="1" ht="34">
      <c r="A11" s="148"/>
      <c r="B11" s="253" t="s">
        <v>174</v>
      </c>
      <c r="C11" s="254" t="s">
        <v>160</v>
      </c>
      <c r="D11" s="255" t="s">
        <v>175</v>
      </c>
      <c r="E11" s="255" t="s">
        <v>176</v>
      </c>
      <c r="F11" s="256" t="s">
        <v>179</v>
      </c>
    </row>
    <row r="12" spans="1:6">
      <c r="A12" s="148"/>
      <c r="B12" s="258">
        <v>0.1</v>
      </c>
      <c r="C12" s="247">
        <v>0</v>
      </c>
      <c r="D12" s="248">
        <v>2E-3</v>
      </c>
      <c r="E12" s="248">
        <v>-1E-3</v>
      </c>
      <c r="F12" s="249">
        <v>0</v>
      </c>
    </row>
    <row r="13" spans="1:6">
      <c r="A13" s="148"/>
      <c r="B13" s="258">
        <v>0.2</v>
      </c>
      <c r="C13" s="247">
        <v>0</v>
      </c>
      <c r="D13" s="248">
        <v>3.0000000000000001E-3</v>
      </c>
      <c r="E13" s="248">
        <v>-2E-3</v>
      </c>
      <c r="F13" s="249">
        <v>0</v>
      </c>
    </row>
    <row r="14" spans="1:6" ht="34">
      <c r="A14" s="148" t="s">
        <v>510</v>
      </c>
      <c r="B14" s="259">
        <v>0.4</v>
      </c>
      <c r="C14" s="250">
        <v>-7.0000000000000001E-3</v>
      </c>
      <c r="D14" s="251">
        <v>-1E-3</v>
      </c>
      <c r="E14" s="251">
        <v>-1.2999999999999999E-2</v>
      </c>
      <c r="F14" s="252">
        <v>-8.9999999999999993E-3</v>
      </c>
    </row>
    <row r="17" spans="1:6" ht="17">
      <c r="A17" s="15" t="s">
        <v>180</v>
      </c>
      <c r="B17" s="114" t="s">
        <v>41</v>
      </c>
      <c r="C17" s="114" t="s">
        <v>42</v>
      </c>
      <c r="D17" s="114" t="s">
        <v>43</v>
      </c>
      <c r="E17" s="16"/>
      <c r="F17" s="16"/>
    </row>
    <row r="18" spans="1:6" ht="65.25" customHeight="1">
      <c r="A18" s="148" t="s">
        <v>285</v>
      </c>
      <c r="B18" s="142">
        <v>0.1</v>
      </c>
      <c r="C18" s="142">
        <v>0.3</v>
      </c>
      <c r="D18" s="142">
        <v>0.5</v>
      </c>
      <c r="E18" t="s">
        <v>479</v>
      </c>
    </row>
    <row r="19" spans="1:6" ht="17">
      <c r="A19" s="148" t="s">
        <v>173</v>
      </c>
      <c r="B19" s="142">
        <v>0.2</v>
      </c>
      <c r="C19" s="142">
        <v>0.4</v>
      </c>
      <c r="D19" s="142">
        <v>0.8</v>
      </c>
      <c r="E19" t="s">
        <v>479</v>
      </c>
    </row>
    <row r="20" spans="1:6" ht="17">
      <c r="A20" s="148" t="s">
        <v>178</v>
      </c>
      <c r="B20" s="260">
        <f>B18*B19</f>
        <v>2.0000000000000004E-2</v>
      </c>
      <c r="C20" s="260">
        <f>C18*C19</f>
        <v>0.12</v>
      </c>
      <c r="D20" s="260">
        <f>D18*D19</f>
        <v>0.4</v>
      </c>
    </row>
    <row r="21" spans="1:6">
      <c r="A21" s="148"/>
      <c r="B21" s="30"/>
      <c r="C21" s="30"/>
      <c r="D21" s="30"/>
    </row>
    <row r="22" spans="1:6" ht="34">
      <c r="A22" s="257" t="s">
        <v>191</v>
      </c>
      <c r="B22" s="261">
        <f>MIN(C12:F12)</f>
        <v>-1E-3</v>
      </c>
      <c r="C22" s="261">
        <f>F1</f>
        <v>0</v>
      </c>
      <c r="D22" s="261">
        <f>MIN(C14:F14)</f>
        <v>-1.2999999999999999E-2</v>
      </c>
    </row>
  </sheetData>
  <sheetProtection sheet="1" objects="1" scenarios="1"/>
  <mergeCells count="1">
    <mergeCell ref="C10:E10"/>
  </mergeCells>
  <pageMargins left="0.7" right="0.7" top="0.75" bottom="0.75" header="0.3" footer="0.3"/>
  <ignoredErrors>
    <ignoredError sqref="B22 D22" formulaRange="1"/>
  </ignoredErrors>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20</vt:i4>
      </vt:variant>
      <vt:variant>
        <vt:lpstr>Named Ranges</vt:lpstr>
      </vt:variant>
      <vt:variant>
        <vt:i4>44</vt:i4>
      </vt:variant>
    </vt:vector>
  </HeadingPairs>
  <TitlesOfParts>
    <vt:vector size="64" baseType="lpstr">
      <vt:lpstr>Cover sheet</vt:lpstr>
      <vt:lpstr>Summary</vt:lpstr>
      <vt:lpstr>Packages</vt:lpstr>
      <vt:lpstr>Reducing radiator temp</vt:lpstr>
      <vt:lpstr>Reduce heating hours</vt:lpstr>
      <vt:lpstr>Turn off pre-heat</vt:lpstr>
      <vt:lpstr>Reducing DHW temp. (cylinder)</vt:lpstr>
      <vt:lpstr>Reducing DHW temp. (combi)</vt:lpstr>
      <vt:lpstr>Moving furniture</vt:lpstr>
      <vt:lpstr>Closing curtains</vt:lpstr>
      <vt:lpstr>Window treatments</vt:lpstr>
      <vt:lpstr>Loft insulation</vt:lpstr>
      <vt:lpstr>Radiator foil</vt:lpstr>
      <vt:lpstr>Smart thermostats &amp; compens'n</vt:lpstr>
      <vt:lpstr>TRVs</vt:lpstr>
      <vt:lpstr>Assumptions</vt:lpstr>
      <vt:lpstr>Tariffs</vt:lpstr>
      <vt:lpstr>References</vt:lpstr>
      <vt:lpstr>Modelling Notes</vt:lpstr>
      <vt:lpstr>Change Log</vt:lpstr>
      <vt:lpstr>carbonElectricitryPerkWh</vt:lpstr>
      <vt:lpstr>carbonElectricityPerkWh</vt:lpstr>
      <vt:lpstr>carbonGasPerkWh</vt:lpstr>
      <vt:lpstr>carbonGasTperGWh</vt:lpstr>
      <vt:lpstr>carbonGasTperMWh</vt:lpstr>
      <vt:lpstr>carbonOilPerkWh</vt:lpstr>
      <vt:lpstr>electricityPriceDualRateP</vt:lpstr>
      <vt:lpstr>electricityPriceP</vt:lpstr>
      <vt:lpstr>gasBillPropSpace</vt:lpstr>
      <vt:lpstr>gasPriceP</vt:lpstr>
      <vt:lpstr>kwhPerKtoe</vt:lpstr>
      <vt:lpstr>kwhPerToe</vt:lpstr>
      <vt:lpstr>MeanDomesticElectricHeatingBill</vt:lpstr>
      <vt:lpstr>MeanDomesticGasBill</vt:lpstr>
      <vt:lpstr>MeanDomesticOilBill</vt:lpstr>
      <vt:lpstr>numberDwellingsUK</vt:lpstr>
      <vt:lpstr>numberHomesGasHeating</vt:lpstr>
      <vt:lpstr>numberHomesOilHeating</vt:lpstr>
      <vt:lpstr>numberHomesOtherElectricHeaters</vt:lpstr>
      <vt:lpstr>numberHomesStorageHeater</vt:lpstr>
      <vt:lpstr>numGasHeatingEngland</vt:lpstr>
      <vt:lpstr>numOilHeatingEngland</vt:lpstr>
      <vt:lpstr>numOtherElectricHeatersEngland</vt:lpstr>
      <vt:lpstr>numStorageHeatersEngland</vt:lpstr>
      <vt:lpstr>oilPriceP</vt:lpstr>
      <vt:lpstr>propGasHeatingEngland</vt:lpstr>
      <vt:lpstr>propGasRegular</vt:lpstr>
      <vt:lpstr>propHomesGasHeating</vt:lpstr>
      <vt:lpstr>propHomesOilHeating</vt:lpstr>
      <vt:lpstr>propHomesOtherElectricHeaters</vt:lpstr>
      <vt:lpstr>propHomesStorageHeaters</vt:lpstr>
      <vt:lpstr>propOilHeatingEngland</vt:lpstr>
      <vt:lpstr>propOilRegular</vt:lpstr>
      <vt:lpstr>propOtherElectricHeatersEngland</vt:lpstr>
      <vt:lpstr>propStorageHeatersEngland</vt:lpstr>
      <vt:lpstr>TotalDomesticElecHeatingkwh</vt:lpstr>
      <vt:lpstr>TotalDomesticGasKwh</vt:lpstr>
      <vt:lpstr>TotalDomesticOilkWh</vt:lpstr>
      <vt:lpstr>TotalGasBoilers</vt:lpstr>
      <vt:lpstr>TotalOilBoilers</vt:lpstr>
      <vt:lpstr>TotalOtherElectricHeaters</vt:lpstr>
      <vt:lpstr>TotalOtherElectrickWh</vt:lpstr>
      <vt:lpstr>TotalStorageHeaters</vt:lpstr>
      <vt:lpstr>TotalStorageHeaterskWh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 Terry;Jason Palmer</dc:creator>
  <cp:lastModifiedBy>Microsoft Office User</cp:lastModifiedBy>
  <dcterms:created xsi:type="dcterms:W3CDTF">2022-07-07T11:34:57Z</dcterms:created>
  <dcterms:modified xsi:type="dcterms:W3CDTF">2022-10-07T14:25:55Z</dcterms:modified>
</cp:coreProperties>
</file>